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e Trader\Dropbox\0Tradelog\"/>
    </mc:Choice>
  </mc:AlternateContent>
  <bookViews>
    <workbookView xWindow="0" yWindow="0" windowWidth="28800" windowHeight="12300" tabRatio="958" activeTab="1"/>
  </bookViews>
  <sheets>
    <sheet name="Equity" sheetId="1" r:id="rId1"/>
    <sheet name="Trades" sheetId="2" r:id="rId2"/>
  </sheets>
  <calcPr calcId="162913" iterateDelta="1E-4"/>
</workbook>
</file>

<file path=xl/calcChain.xml><?xml version="1.0" encoding="utf-8"?>
<calcChain xmlns="http://schemas.openxmlformats.org/spreadsheetml/2006/main">
  <c r="L35" i="1" l="1"/>
  <c r="L33" i="1"/>
  <c r="K33" i="1"/>
  <c r="J21" i="2"/>
  <c r="L21" i="2"/>
  <c r="M21" i="2" s="1"/>
  <c r="P21" i="2"/>
  <c r="Q21" i="2" s="1"/>
  <c r="R21" i="2"/>
  <c r="J22" i="2"/>
  <c r="P22" i="2"/>
  <c r="Q22" i="2"/>
  <c r="R22" i="2"/>
  <c r="J23" i="2"/>
  <c r="L23" i="2"/>
  <c r="P23" i="2"/>
  <c r="R23" i="2"/>
  <c r="J24" i="2"/>
  <c r="P24" i="2"/>
  <c r="Q24" i="2" s="1"/>
  <c r="R24" i="2"/>
  <c r="J25" i="2"/>
  <c r="L25" i="2"/>
  <c r="M25" i="2" s="1"/>
  <c r="P25" i="2"/>
  <c r="Q25" i="2" s="1"/>
  <c r="R25" i="2"/>
  <c r="J26" i="2"/>
  <c r="P26" i="2"/>
  <c r="Q26" i="2"/>
  <c r="R26" i="2"/>
  <c r="J27" i="2"/>
  <c r="L27" i="2"/>
  <c r="P27" i="2"/>
  <c r="R27" i="2"/>
  <c r="J28" i="2"/>
  <c r="P28" i="2"/>
  <c r="Q28" i="2" s="1"/>
  <c r="R28" i="2"/>
  <c r="J29" i="2"/>
  <c r="L29" i="2"/>
  <c r="M29" i="2" s="1"/>
  <c r="P29" i="2"/>
  <c r="R29" i="2"/>
  <c r="J30" i="2"/>
  <c r="P30" i="2"/>
  <c r="Q30" i="2"/>
  <c r="R30" i="2"/>
  <c r="J31" i="2"/>
  <c r="L31" i="2"/>
  <c r="P31" i="2"/>
  <c r="R31" i="2"/>
  <c r="J32" i="2"/>
  <c r="P32" i="2"/>
  <c r="Q32" i="2" s="1"/>
  <c r="R32" i="2"/>
  <c r="J33" i="2"/>
  <c r="L33" i="2"/>
  <c r="M33" i="2" s="1"/>
  <c r="P33" i="2"/>
  <c r="R33" i="2"/>
  <c r="J34" i="2"/>
  <c r="P34" i="2"/>
  <c r="Q34" i="2"/>
  <c r="R34" i="2"/>
  <c r="J35" i="2"/>
  <c r="L35" i="2"/>
  <c r="P35" i="2"/>
  <c r="R35" i="2"/>
  <c r="J36" i="2"/>
  <c r="P36" i="2"/>
  <c r="R36" i="2"/>
  <c r="J37" i="2"/>
  <c r="L37" i="2"/>
  <c r="M37" i="2" s="1"/>
  <c r="P37" i="2"/>
  <c r="R37" i="2"/>
  <c r="J38" i="2"/>
  <c r="P38" i="2"/>
  <c r="Q38" i="2"/>
  <c r="R38" i="2"/>
  <c r="J39" i="2"/>
  <c r="L39" i="2"/>
  <c r="P39" i="2"/>
  <c r="R39" i="2"/>
  <c r="J40" i="2"/>
  <c r="P40" i="2"/>
  <c r="R40" i="2"/>
  <c r="J41" i="2"/>
  <c r="L41" i="2"/>
  <c r="M41" i="2" s="1"/>
  <c r="P41" i="2"/>
  <c r="Q41" i="2" s="1"/>
  <c r="R41" i="2"/>
  <c r="J42" i="2"/>
  <c r="Q42" i="2" s="1"/>
  <c r="P42" i="2"/>
  <c r="R42" i="2"/>
  <c r="J43" i="2"/>
  <c r="L43" i="2"/>
  <c r="M43" i="2" s="1"/>
  <c r="P43" i="2"/>
  <c r="J44" i="2"/>
  <c r="P44" i="2"/>
  <c r="Q44" i="2" s="1"/>
  <c r="R44" i="2"/>
  <c r="J45" i="2"/>
  <c r="L45" i="2"/>
  <c r="M45" i="2"/>
  <c r="P45" i="2"/>
  <c r="R45" i="2"/>
  <c r="J46" i="2"/>
  <c r="P46" i="2"/>
  <c r="Q46" i="2" s="1"/>
  <c r="R46" i="2"/>
  <c r="J47" i="2"/>
  <c r="L47" i="2"/>
  <c r="P47" i="2"/>
  <c r="R47" i="2"/>
  <c r="J48" i="2"/>
  <c r="P48" i="2"/>
  <c r="R48" i="2"/>
  <c r="J49" i="2"/>
  <c r="L49" i="2"/>
  <c r="M49" i="2"/>
  <c r="P49" i="2"/>
  <c r="Q49" i="2" s="1"/>
  <c r="R49" i="2"/>
  <c r="J50" i="2"/>
  <c r="P50" i="2"/>
  <c r="Q50" i="2" s="1"/>
  <c r="R50" i="2"/>
  <c r="J51" i="2"/>
  <c r="L51" i="2"/>
  <c r="M51" i="2" s="1"/>
  <c r="P51" i="2"/>
  <c r="R51" i="2"/>
  <c r="J52" i="2"/>
  <c r="P52" i="2"/>
  <c r="Q52" i="2" s="1"/>
  <c r="R52" i="2"/>
  <c r="J53" i="2"/>
  <c r="L53" i="2"/>
  <c r="M53" i="2"/>
  <c r="P53" i="2"/>
  <c r="Q53" i="2" s="1"/>
  <c r="R53" i="2"/>
  <c r="J54" i="2"/>
  <c r="P54" i="2"/>
  <c r="Q54" i="2" s="1"/>
  <c r="R54" i="2"/>
  <c r="J55" i="2"/>
  <c r="L55" i="2"/>
  <c r="M55" i="2" s="1"/>
  <c r="P55" i="2"/>
  <c r="R55" i="2"/>
  <c r="J56" i="2"/>
  <c r="P56" i="2"/>
  <c r="Q56" i="2" s="1"/>
  <c r="R56" i="2"/>
  <c r="Q55" i="2" l="1"/>
  <c r="Q51" i="2"/>
  <c r="Q47" i="2"/>
  <c r="Q48" i="2"/>
  <c r="Q33" i="2"/>
  <c r="Q29" i="2"/>
  <c r="Q27" i="2"/>
  <c r="Q23" i="2"/>
  <c r="Q45" i="2"/>
  <c r="Q43" i="2"/>
  <c r="Q37" i="2"/>
  <c r="M27" i="2"/>
  <c r="M23" i="2"/>
  <c r="Q39" i="2"/>
  <c r="M39" i="2"/>
  <c r="Q35" i="2"/>
  <c r="M47" i="2"/>
  <c r="Q40" i="2"/>
  <c r="M35" i="2"/>
  <c r="Q31" i="2"/>
  <c r="Q36" i="2"/>
  <c r="M31" i="2"/>
  <c r="E5" i="1" l="1"/>
  <c r="G29" i="1"/>
  <c r="F29" i="1"/>
  <c r="D29" i="1"/>
  <c r="G28" i="1"/>
  <c r="F28" i="1"/>
  <c r="D28" i="1"/>
  <c r="G27" i="1"/>
  <c r="F27" i="1"/>
  <c r="D27" i="1"/>
  <c r="G26" i="1"/>
  <c r="F26" i="1"/>
  <c r="D26" i="1"/>
  <c r="G25" i="1"/>
  <c r="H25" i="1"/>
  <c r="F25" i="1"/>
  <c r="D25" i="1"/>
  <c r="F24" i="1"/>
  <c r="D24" i="1"/>
  <c r="H23" i="1"/>
  <c r="G23" i="1"/>
  <c r="F23" i="1"/>
  <c r="D23" i="1"/>
  <c r="G22" i="1"/>
  <c r="F22" i="1"/>
  <c r="G21" i="1"/>
  <c r="F21" i="1"/>
  <c r="D21" i="1"/>
  <c r="G20" i="1"/>
  <c r="F20" i="1"/>
  <c r="G19" i="1"/>
  <c r="F19" i="1"/>
  <c r="D19" i="1"/>
  <c r="G18" i="1"/>
  <c r="H18" i="1"/>
  <c r="F18" i="1"/>
  <c r="G17" i="1"/>
  <c r="F17" i="1"/>
  <c r="D17" i="1"/>
  <c r="G16" i="1"/>
  <c r="F16" i="1"/>
  <c r="G15" i="1"/>
  <c r="F15" i="1"/>
  <c r="D15" i="1"/>
  <c r="G14" i="1"/>
  <c r="F14" i="1"/>
  <c r="G13" i="1"/>
  <c r="F13" i="1"/>
  <c r="D13" i="1"/>
  <c r="G12" i="1"/>
  <c r="H12" i="1"/>
  <c r="F12" i="1"/>
  <c r="R20" i="2"/>
  <c r="P20" i="2"/>
  <c r="G11" i="1" s="1"/>
  <c r="J20" i="2"/>
  <c r="R19" i="2"/>
  <c r="P19" i="2"/>
  <c r="F11" i="1" s="1"/>
  <c r="L19" i="2"/>
  <c r="J19" i="2"/>
  <c r="D11" i="1" s="1"/>
  <c r="R18" i="2"/>
  <c r="P18" i="2"/>
  <c r="G10" i="1" s="1"/>
  <c r="J18" i="2"/>
  <c r="R17" i="2"/>
  <c r="P17" i="2"/>
  <c r="F10" i="1" s="1"/>
  <c r="L17" i="2"/>
  <c r="J17" i="2"/>
  <c r="R16" i="2"/>
  <c r="P16" i="2"/>
  <c r="G9" i="1" s="1"/>
  <c r="J16" i="2"/>
  <c r="D9" i="1" s="1"/>
  <c r="R15" i="2"/>
  <c r="P15" i="2"/>
  <c r="F9" i="1" s="1"/>
  <c r="L15" i="2"/>
  <c r="M15" i="2" s="1"/>
  <c r="J15" i="2"/>
  <c r="R14" i="2"/>
  <c r="P14" i="2"/>
  <c r="G8" i="1" s="1"/>
  <c r="J14" i="2"/>
  <c r="R13" i="2"/>
  <c r="P13" i="2"/>
  <c r="F8" i="1" s="1"/>
  <c r="L13" i="2"/>
  <c r="J13" i="2"/>
  <c r="R12" i="2"/>
  <c r="P12" i="2"/>
  <c r="G7" i="1" s="1"/>
  <c r="J12" i="2"/>
  <c r="R11" i="2"/>
  <c r="P11" i="2"/>
  <c r="F7" i="1" s="1"/>
  <c r="L11" i="2"/>
  <c r="J11" i="2"/>
  <c r="D7" i="1" s="1"/>
  <c r="R10" i="2"/>
  <c r="P10" i="2"/>
  <c r="G6" i="1" s="1"/>
  <c r="J10" i="2"/>
  <c r="R9" i="2"/>
  <c r="P9" i="2"/>
  <c r="F6" i="1" s="1"/>
  <c r="L9" i="2"/>
  <c r="M9" i="2" s="1"/>
  <c r="J9" i="2"/>
  <c r="R8" i="2"/>
  <c r="P8" i="2"/>
  <c r="G5" i="1" s="1"/>
  <c r="J8" i="2"/>
  <c r="R7" i="2"/>
  <c r="P7" i="2"/>
  <c r="F5" i="1" s="1"/>
  <c r="L7" i="2"/>
  <c r="J7" i="2"/>
  <c r="D5" i="1" s="1"/>
  <c r="R17" i="1"/>
  <c r="Q17" i="1"/>
  <c r="D33" i="1" s="1"/>
  <c r="P17" i="1"/>
  <c r="C33" i="1" s="1"/>
  <c r="O17" i="1"/>
  <c r="S6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S5" i="1"/>
  <c r="Q10" i="2" l="1"/>
  <c r="M7" i="2"/>
  <c r="M13" i="2"/>
  <c r="M11" i="2"/>
  <c r="Q15" i="2"/>
  <c r="H6" i="1"/>
  <c r="Q18" i="2"/>
  <c r="H17" i="1"/>
  <c r="H27" i="1"/>
  <c r="H16" i="1"/>
  <c r="Q8" i="2"/>
  <c r="Q11" i="2"/>
  <c r="H8" i="1"/>
  <c r="M17" i="2"/>
  <c r="M19" i="2"/>
  <c r="H9" i="1"/>
  <c r="H10" i="1"/>
  <c r="Q20" i="2"/>
  <c r="Q12" i="2"/>
  <c r="Q14" i="2"/>
  <c r="Q19" i="2"/>
  <c r="H20" i="1"/>
  <c r="H21" i="1"/>
  <c r="H22" i="1"/>
  <c r="H29" i="1"/>
  <c r="Q7" i="2"/>
  <c r="Q16" i="2"/>
  <c r="H13" i="1"/>
  <c r="H14" i="1"/>
  <c r="I5" i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S17" i="1"/>
  <c r="E33" i="1"/>
  <c r="H5" i="1"/>
  <c r="S7" i="2"/>
  <c r="S8" i="2" s="1"/>
  <c r="S9" i="2" s="1"/>
  <c r="S10" i="2" s="1"/>
  <c r="S11" i="2" s="1"/>
  <c r="S12" i="2" s="1"/>
  <c r="S13" i="2" s="1"/>
  <c r="S14" i="2" s="1"/>
  <c r="S15" i="2" s="1"/>
  <c r="S16" i="2" s="1"/>
  <c r="S17" i="2" s="1"/>
  <c r="S18" i="2" s="1"/>
  <c r="S19" i="2" s="1"/>
  <c r="S20" i="2" s="1"/>
  <c r="S21" i="2" s="1"/>
  <c r="S22" i="2" s="1"/>
  <c r="S23" i="2" s="1"/>
  <c r="S24" i="2" s="1"/>
  <c r="S25" i="2" s="1"/>
  <c r="S26" i="2" s="1"/>
  <c r="S27" i="2" s="1"/>
  <c r="S28" i="2" s="1"/>
  <c r="S29" i="2" s="1"/>
  <c r="S30" i="2" s="1"/>
  <c r="S31" i="2" s="1"/>
  <c r="S32" i="2" s="1"/>
  <c r="S33" i="2" s="1"/>
  <c r="S34" i="2" s="1"/>
  <c r="S35" i="2" s="1"/>
  <c r="S36" i="2" s="1"/>
  <c r="S37" i="2" s="1"/>
  <c r="S38" i="2" s="1"/>
  <c r="S39" i="2" s="1"/>
  <c r="S40" i="2" s="1"/>
  <c r="S41" i="2" s="1"/>
  <c r="S42" i="2" s="1"/>
  <c r="S43" i="2" s="1"/>
  <c r="S44" i="2" s="1"/>
  <c r="S45" i="2" s="1"/>
  <c r="S46" i="2" s="1"/>
  <c r="S47" i="2" s="1"/>
  <c r="S48" i="2" s="1"/>
  <c r="S49" i="2" s="1"/>
  <c r="S50" i="2" s="1"/>
  <c r="S51" i="2" s="1"/>
  <c r="S52" i="2" s="1"/>
  <c r="S53" i="2" s="1"/>
  <c r="S54" i="2" s="1"/>
  <c r="S55" i="2" s="1"/>
  <c r="S56" i="2" s="1"/>
  <c r="D22" i="1"/>
  <c r="G24" i="1"/>
  <c r="D14" i="1"/>
  <c r="D10" i="1"/>
  <c r="Q17" i="2"/>
  <c r="D18" i="1"/>
  <c r="D6" i="1"/>
  <c r="Q9" i="2"/>
  <c r="D8" i="1"/>
  <c r="Q13" i="2"/>
  <c r="D12" i="1"/>
  <c r="D16" i="1"/>
  <c r="D20" i="1"/>
  <c r="H7" i="1"/>
  <c r="H11" i="1"/>
  <c r="H15" i="1"/>
  <c r="H19" i="1"/>
  <c r="H24" i="1"/>
  <c r="H26" i="1"/>
  <c r="H28" i="1"/>
  <c r="Y5" i="1" l="1"/>
  <c r="Z5" i="1" s="1"/>
  <c r="D3" i="1"/>
  <c r="J4" i="2" s="1"/>
  <c r="Y6" i="1"/>
  <c r="Z6" i="1" s="1"/>
  <c r="I24" i="1"/>
  <c r="I25" i="1" s="1"/>
  <c r="I26" i="1" s="1"/>
  <c r="I27" i="1" s="1"/>
  <c r="I28" i="1" s="1"/>
  <c r="I29" i="1" s="1"/>
  <c r="W6" i="1"/>
  <c r="T5" i="1"/>
  <c r="W5" i="1"/>
  <c r="J5" i="1"/>
  <c r="J6" i="1" s="1"/>
  <c r="J7" i="1" s="1"/>
  <c r="T6" i="1"/>
  <c r="AB6" i="1" l="1"/>
  <c r="X6" i="1"/>
  <c r="AA6" i="1" s="1"/>
  <c r="H33" i="1"/>
  <c r="J33" i="1" s="1"/>
  <c r="T17" i="1"/>
  <c r="J8" i="1"/>
  <c r="J9" i="1" s="1"/>
  <c r="J10" i="1" s="1"/>
  <c r="J11" i="1" s="1"/>
  <c r="AB5" i="1"/>
  <c r="W17" i="1"/>
  <c r="X5" i="1"/>
  <c r="AA5" i="1" s="1"/>
  <c r="V5" i="1"/>
  <c r="U5" i="1"/>
  <c r="U6" i="1" s="1"/>
  <c r="V6" i="1" l="1"/>
  <c r="Y17" i="1"/>
  <c r="AB17" i="1" s="1"/>
  <c r="V17" i="1"/>
  <c r="U17" i="1"/>
  <c r="K8" i="1"/>
  <c r="O2" i="2"/>
  <c r="P20" i="1"/>
  <c r="X17" i="1"/>
  <c r="V23" i="1"/>
  <c r="J12" i="1"/>
  <c r="J13" i="1" s="1"/>
  <c r="J14" i="1" s="1"/>
  <c r="J15" i="1" s="1"/>
  <c r="J16" i="1" s="1"/>
  <c r="J17" i="1" s="1"/>
  <c r="J18" i="1" s="1"/>
  <c r="J19" i="1" s="1"/>
  <c r="J20" i="1" s="1"/>
  <c r="K14" i="1" l="1"/>
  <c r="L14" i="1" s="1"/>
  <c r="L8" i="1"/>
  <c r="O3" i="2"/>
  <c r="S2" i="2" s="1"/>
  <c r="Q20" i="1"/>
  <c r="R20" i="1" s="1"/>
  <c r="Z17" i="1"/>
  <c r="AA17" i="1" s="1"/>
  <c r="W23" i="1"/>
  <c r="Y23" i="1" s="1"/>
  <c r="J21" i="1"/>
  <c r="J22" i="1" s="1"/>
  <c r="J23" i="1" s="1"/>
  <c r="J24" i="1" s="1"/>
  <c r="J25" i="1" s="1"/>
  <c r="J26" i="1" l="1"/>
  <c r="J27" i="1" s="1"/>
  <c r="K21" i="1"/>
  <c r="K26" i="1" l="1"/>
  <c r="L26" i="1" s="1"/>
  <c r="L21" i="1"/>
  <c r="J28" i="1"/>
  <c r="J29" i="1" s="1"/>
  <c r="T22" i="1" l="1"/>
  <c r="T20" i="1" l="1"/>
  <c r="T21" i="1"/>
</calcChain>
</file>

<file path=xl/comments1.xml><?xml version="1.0" encoding="utf-8"?>
<comments xmlns="http://schemas.openxmlformats.org/spreadsheetml/2006/main">
  <authors>
    <author/>
  </authors>
  <commentList>
    <comment ref="U6" authorId="0" shapeId="0">
      <text>
        <r>
          <rPr>
            <sz val="9"/>
            <color rgb="FF000000"/>
            <rFont val="ＭＳ Ｐゴシック"/>
            <family val="3"/>
            <charset val="128"/>
          </rPr>
          <t>Put down anything that happened in the trade like mistakes, thinking etc.</t>
        </r>
        <r>
          <rPr>
            <sz val="9"/>
            <color rgb="FF000000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<sst xmlns="http://schemas.openxmlformats.org/spreadsheetml/2006/main" count="502" uniqueCount="207">
  <si>
    <t>Equity Performance</t>
  </si>
  <si>
    <t>Capital</t>
  </si>
  <si>
    <t>Ave R:</t>
  </si>
  <si>
    <t>Results in Pips</t>
  </si>
  <si>
    <t>Performance</t>
  </si>
  <si>
    <t>Starting Capital:</t>
  </si>
  <si>
    <t>Pair</t>
  </si>
  <si>
    <t>Date</t>
  </si>
  <si>
    <t>Risk</t>
  </si>
  <si>
    <t>lots/pos.</t>
  </si>
  <si>
    <t>P1</t>
  </si>
  <si>
    <t>P2</t>
  </si>
  <si>
    <t>$/Trade</t>
  </si>
  <si>
    <t>TPips</t>
  </si>
  <si>
    <t>Total</t>
  </si>
  <si>
    <t>$DD</t>
  </si>
  <si>
    <t>%DD</t>
  </si>
  <si>
    <t>Trades</t>
  </si>
  <si>
    <t>Wins</t>
  </si>
  <si>
    <t>Losses</t>
  </si>
  <si>
    <t>BE</t>
  </si>
  <si>
    <t>Win%</t>
  </si>
  <si>
    <t>P/L</t>
  </si>
  <si>
    <t>P/L %</t>
  </si>
  <si>
    <t>Profit</t>
  </si>
  <si>
    <t>Ave P</t>
  </si>
  <si>
    <t>Loss</t>
  </si>
  <si>
    <t>Ave L</t>
  </si>
  <si>
    <t>Expect.</t>
  </si>
  <si>
    <t>Pfactor</t>
  </si>
  <si>
    <t>EURNZD</t>
  </si>
  <si>
    <t>2020.01.08</t>
  </si>
  <si>
    <t>Jan</t>
  </si>
  <si>
    <t>USDCAD</t>
  </si>
  <si>
    <t>2020.01.13</t>
  </si>
  <si>
    <t>Feb</t>
  </si>
  <si>
    <t>EURCAD</t>
  </si>
  <si>
    <t>2020.01.15</t>
  </si>
  <si>
    <t>Mar</t>
  </si>
  <si>
    <t>GBPAUD</t>
  </si>
  <si>
    <t>2020.01.16</t>
  </si>
  <si>
    <t>Apr</t>
  </si>
  <si>
    <t>GBPUSD</t>
  </si>
  <si>
    <t>2020.01.20</t>
  </si>
  <si>
    <t>May</t>
  </si>
  <si>
    <t>NZDUSD</t>
  </si>
  <si>
    <t>2020.01.22</t>
  </si>
  <si>
    <t>Jun</t>
  </si>
  <si>
    <t>GBPNZD</t>
  </si>
  <si>
    <t>2020.01.23</t>
  </si>
  <si>
    <t>Jul</t>
  </si>
  <si>
    <t>EURUSD</t>
  </si>
  <si>
    <t>Aug</t>
  </si>
  <si>
    <t>NZDJPY</t>
  </si>
  <si>
    <t>2020.01.28</t>
  </si>
  <si>
    <t>Sep</t>
  </si>
  <si>
    <t>Oct</t>
  </si>
  <si>
    <t>EURGBP</t>
  </si>
  <si>
    <t>2020.01.29</t>
  </si>
  <si>
    <t>Nov</t>
  </si>
  <si>
    <t>2020.01.31</t>
  </si>
  <si>
    <t>Dec</t>
  </si>
  <si>
    <t>2020.02.05</t>
  </si>
  <si>
    <t>Total:</t>
  </si>
  <si>
    <t>2020.02.07</t>
  </si>
  <si>
    <t>Streak</t>
  </si>
  <si>
    <t>GBPCAD</t>
  </si>
  <si>
    <t>2020.02.10</t>
  </si>
  <si>
    <t>Average</t>
  </si>
  <si>
    <t>Win</t>
  </si>
  <si>
    <t>USDJPY</t>
  </si>
  <si>
    <t>2020.02.11</t>
  </si>
  <si>
    <t>DD</t>
  </si>
  <si>
    <t>Expectancy:</t>
  </si>
  <si>
    <t>1+(aveW/aveL)*win%-1</t>
  </si>
  <si>
    <t>Largest</t>
  </si>
  <si>
    <t>Profit Factor:</t>
  </si>
  <si>
    <t>Gross Profit/Gross Loss</t>
  </si>
  <si>
    <t>2020.02.13</t>
  </si>
  <si>
    <t>Ave</t>
  </si>
  <si>
    <t>Gain</t>
  </si>
  <si>
    <t>CADJPY</t>
  </si>
  <si>
    <t>2020.02.17</t>
  </si>
  <si>
    <t>EURCHF</t>
  </si>
  <si>
    <t>2020.02.19</t>
  </si>
  <si>
    <t>USDCHF</t>
  </si>
  <si>
    <t>2020.02.28</t>
  </si>
  <si>
    <t>2020.02.24</t>
  </si>
  <si>
    <t>GBPCHF</t>
  </si>
  <si>
    <t>2020.02.25</t>
  </si>
  <si>
    <t>Totals</t>
  </si>
  <si>
    <t>Win %</t>
  </si>
  <si>
    <t>$ Gain</t>
  </si>
  <si>
    <t>Pips</t>
  </si>
  <si>
    <t>% Gain</t>
  </si>
  <si>
    <t>Max DD</t>
  </si>
  <si>
    <t>Max %</t>
  </si>
  <si>
    <t>Ave DD</t>
  </si>
  <si>
    <t>2020 SRC Trade Log</t>
  </si>
  <si>
    <t>Keep Risk Low!</t>
  </si>
  <si>
    <t>Gross Win:</t>
  </si>
  <si>
    <t>Aim for 2:1 Reward/Risk!</t>
  </si>
  <si>
    <t>Gross Loss:</t>
  </si>
  <si>
    <t>AveR:</t>
  </si>
  <si>
    <t>Risk per trade:</t>
  </si>
  <si>
    <t>FRMM</t>
  </si>
  <si>
    <t>Initial</t>
  </si>
  <si>
    <t>Ratio</t>
  </si>
  <si>
    <t>Real</t>
  </si>
  <si>
    <t>Profit/Loss</t>
  </si>
  <si>
    <t>Real R:R Ave</t>
  </si>
  <si>
    <t>Symbol</t>
  </si>
  <si>
    <t>L/S</t>
  </si>
  <si>
    <t>TF</t>
  </si>
  <si>
    <t>Day</t>
  </si>
  <si>
    <t>Unit</t>
  </si>
  <si>
    <t>Entry</t>
  </si>
  <si>
    <t>Price</t>
  </si>
  <si>
    <t>Stop</t>
  </si>
  <si>
    <t>Target</t>
  </si>
  <si>
    <t>R:R</t>
  </si>
  <si>
    <t>Exit</t>
  </si>
  <si>
    <t>$ P/L</t>
  </si>
  <si>
    <t>Total $</t>
  </si>
  <si>
    <t>Strategy</t>
  </si>
  <si>
    <t>Notes</t>
  </si>
  <si>
    <t>DD$</t>
  </si>
  <si>
    <t>DD%</t>
  </si>
  <si>
    <t>Ave W</t>
  </si>
  <si>
    <t>NetP/L</t>
  </si>
  <si>
    <t>Reward</t>
  </si>
  <si>
    <t>Short</t>
  </si>
  <si>
    <t>H4</t>
  </si>
  <si>
    <t>W</t>
  </si>
  <si>
    <t>2020.01.08 04:00</t>
  </si>
  <si>
    <t>2020.01.08 08:00</t>
  </si>
  <si>
    <t>SRC</t>
  </si>
  <si>
    <t>-</t>
  </si>
  <si>
    <t>2020.01.09 12:00</t>
  </si>
  <si>
    <t>Long</t>
  </si>
  <si>
    <t>H1</t>
  </si>
  <si>
    <t>M</t>
  </si>
  <si>
    <t>2020.01.13 17:00</t>
  </si>
  <si>
    <t>2020.01.15 08:00</t>
  </si>
  <si>
    <t>2020.01.17 04:00</t>
  </si>
  <si>
    <t>TH</t>
  </si>
  <si>
    <t>2020.01.16 00:00</t>
  </si>
  <si>
    <t>2020.01.16 16:00</t>
  </si>
  <si>
    <t>2020.01.20 12:00</t>
  </si>
  <si>
    <t>2020.01.21 12:00</t>
  </si>
  <si>
    <t>2020.01.24 11:00</t>
  </si>
  <si>
    <t>DBE</t>
  </si>
  <si>
    <t>2020.01.22 12:00</t>
  </si>
  <si>
    <t>2020.01.23 20:00</t>
  </si>
  <si>
    <t>2020.01.27 00:00</t>
  </si>
  <si>
    <t>2020.01.23 08:00</t>
  </si>
  <si>
    <t>2020.01.24 20:00</t>
  </si>
  <si>
    <t>2020.01.23 12:00</t>
  </si>
  <si>
    <t>2020.01.23 16:00</t>
  </si>
  <si>
    <t>T</t>
  </si>
  <si>
    <t>2020.01.28 00:00</t>
  </si>
  <si>
    <t>2020.01.28 08:00</t>
  </si>
  <si>
    <t>2020.01.28 12:00</t>
  </si>
  <si>
    <t>2020.01.30 04:00</t>
  </si>
  <si>
    <t>2020.01.29 04:00</t>
  </si>
  <si>
    <t>2020.01.29 12:00</t>
  </si>
  <si>
    <t>H1 double bottom engulfing bar reversal; close</t>
  </si>
  <si>
    <t>2020.01.31 12:00</t>
  </si>
  <si>
    <t>F</t>
  </si>
  <si>
    <t>2020.01.31 21:00</t>
  </si>
  <si>
    <t>2020.02.03 10:00</t>
  </si>
  <si>
    <t>2020.02.05 21:00</t>
  </si>
  <si>
    <t>2020.02.05 09:00</t>
  </si>
  <si>
    <t>2020.02.05 17:00</t>
  </si>
  <si>
    <t>Reversl engulfing bar close position</t>
  </si>
  <si>
    <t>2020.02.07 01:00</t>
  </si>
  <si>
    <t>2020.02.07 09:00</t>
  </si>
  <si>
    <t>2020.02.07 14:00</t>
  </si>
  <si>
    <t>2020.02.10 12:00</t>
  </si>
  <si>
    <t>2020.02.13 12:00</t>
  </si>
  <si>
    <t>2020.02.17 12:00</t>
  </si>
  <si>
    <t>KT</t>
  </si>
  <si>
    <t>2020.02.11 00:00</t>
  </si>
  <si>
    <t>2020.02.12 08:00</t>
  </si>
  <si>
    <t>2020.02.13 04:00</t>
  </si>
  <si>
    <t>2020.02.11 20:00</t>
  </si>
  <si>
    <t>2020.02.12 16:00</t>
  </si>
  <si>
    <t>2020.02.13 09:00</t>
  </si>
  <si>
    <t>2020.02.14 10:00</t>
  </si>
  <si>
    <t>2020.02.17 15:00</t>
  </si>
  <si>
    <t>2020.02.18 03:00</t>
  </si>
  <si>
    <t>2020.02.18 13:00</t>
  </si>
  <si>
    <t>DTE</t>
  </si>
  <si>
    <t>2020.02.19 17:00</t>
  </si>
  <si>
    <t>2020.02.19 22:00</t>
  </si>
  <si>
    <t>2020.02.20 03:00</t>
  </si>
  <si>
    <t>2020.02.20 12:00</t>
  </si>
  <si>
    <t>2020.02.21 08:00</t>
  </si>
  <si>
    <t>2020.03.10 04:00</t>
  </si>
  <si>
    <t>2020.02.24 02:00</t>
  </si>
  <si>
    <t>2020.02.24 14:00</t>
  </si>
  <si>
    <t>2020.02.24 18:00</t>
  </si>
  <si>
    <t>2020.02.25 08:00</t>
  </si>
  <si>
    <t>Came withing 2 pips of target close half on H1 reversal</t>
  </si>
  <si>
    <t>2020.02.25 19:00</t>
  </si>
  <si>
    <t>2020.02.25 13:00</t>
  </si>
  <si>
    <t>2020.02.25 17:00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</si>
</sst>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&quot;$&quot;#,##0&quot; &quot;;[Red]&quot;($&quot;#,##0&quot;)&quot;"/>
    <numFmt numFmtId="165" formatCode="0.0&quot; &quot;"/>
    <numFmt numFmtId="166" formatCode="0.0&quot; &quot;;[Red]&quot;(&quot;0.0&quot;)&quot;"/>
    <numFmt numFmtId="167" formatCode="0&quot; &quot;;[Red]&quot;(&quot;0&quot;)&quot;"/>
    <numFmt numFmtId="168" formatCode="&quot;$&quot;#,##0;&quot;-$&quot;#,##0"/>
    <numFmt numFmtId="169" formatCode="0.0%"/>
    <numFmt numFmtId="170" formatCode="&quot;$&quot;#,##0.00&quot; &quot;;[Red]&quot;($&quot;#,##0.00&quot;)&quot;"/>
    <numFmt numFmtId="171" formatCode="0;[Red]0"/>
    <numFmt numFmtId="172" formatCode="0.00&quot; &quot;"/>
    <numFmt numFmtId="173" formatCode="0.00&quot; &quot;;[Red]&quot;(&quot;0.00&quot;)&quot;"/>
    <numFmt numFmtId="174" formatCode="&quot;$&quot;#,##0;[Red]&quot;$&quot;#,##0"/>
    <numFmt numFmtId="175" formatCode="#,##0.000&quot; &quot;;[Red]&quot;(&quot;#,##0.000&quot;)&quot;"/>
    <numFmt numFmtId="176" formatCode="0&quot; &quot;"/>
    <numFmt numFmtId="177" formatCode="&quot;$&quot;#,##0.00;&quot;-$&quot;#,##0.00"/>
    <numFmt numFmtId="178" formatCode="0.0000&quot; &quot;;[Red]&quot;(&quot;0.0000&quot;)&quot;"/>
    <numFmt numFmtId="179" formatCode="0.00000&quot; &quot;"/>
    <numFmt numFmtId="180" formatCode="0.00000&quot; &quot;;[Red]&quot;(&quot;0.00000&quot;)&quot;"/>
    <numFmt numFmtId="181" formatCode="0.000&quot; &quot;"/>
    <numFmt numFmtId="182" formatCode="#,##0.0000&quot; &quot;;[Red]&quot;(&quot;#,##0.0000&quot;)&quot;"/>
    <numFmt numFmtId="183" formatCode="#,##0.0&quot; &quot;;[Red]&quot;(&quot;#,##0.0&quot;)&quot;"/>
  </numFmts>
  <fonts count="26" x14ac:knownFonts="1">
    <font>
      <sz val="11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sz val="10"/>
      <color rgb="FFFFFFFF"/>
      <name val="ＭＳ Ｐゴシック"/>
      <family val="3"/>
      <charset val="128"/>
    </font>
    <font>
      <sz val="10"/>
      <color rgb="FFCC0000"/>
      <name val="ＭＳ Ｐゴシック"/>
      <family val="3"/>
      <charset val="128"/>
    </font>
    <font>
      <b/>
      <sz val="10"/>
      <color rgb="FFFFFFFF"/>
      <name val="ＭＳ Ｐゴシック"/>
      <family val="3"/>
      <charset val="128"/>
    </font>
    <font>
      <i/>
      <sz val="10"/>
      <color rgb="FF808080"/>
      <name val="ＭＳ Ｐゴシック"/>
      <family val="3"/>
      <charset val="128"/>
    </font>
    <font>
      <sz val="10"/>
      <color rgb="FF006600"/>
      <name val="ＭＳ Ｐゴシック"/>
      <family val="3"/>
      <charset val="128"/>
    </font>
    <font>
      <b/>
      <sz val="24"/>
      <color rgb="FF000000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u/>
      <sz val="10"/>
      <color rgb="FF0000EE"/>
      <name val="ＭＳ Ｐゴシック"/>
      <family val="3"/>
      <charset val="128"/>
    </font>
    <font>
      <sz val="10"/>
      <color rgb="FF996600"/>
      <name val="ＭＳ Ｐゴシック"/>
      <family val="3"/>
      <charset val="128"/>
    </font>
    <font>
      <sz val="10"/>
      <color rgb="FF333333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4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8">
    <xf numFmtId="0" fontId="0" fillId="0" borderId="0">
      <alignment vertical="center"/>
    </xf>
    <xf numFmtId="0" fontId="9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7" fillId="7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12" fillId="8" borderId="0" applyNumberFormat="0" applyBorder="0" applyProtection="0">
      <alignment vertical="center"/>
    </xf>
    <xf numFmtId="0" fontId="13" fillId="8" borderId="1" applyNumberFormat="0" applyProtection="0">
      <alignment vertical="center"/>
    </xf>
    <xf numFmtId="0" fontId="2" fillId="0" borderId="0" applyNumberFormat="0" applyBorder="0" applyProtection="0">
      <alignment vertical="center"/>
    </xf>
    <xf numFmtId="0" fontId="3" fillId="2" borderId="0" applyNumberFormat="0" applyBorder="0" applyProtection="0">
      <alignment vertical="center"/>
    </xf>
    <xf numFmtId="0" fontId="3" fillId="3" borderId="0" applyNumberFormat="0" applyBorder="0" applyProtection="0">
      <alignment vertical="center"/>
    </xf>
    <xf numFmtId="0" fontId="2" fillId="4" borderId="0" applyNumberFormat="0" applyBorder="0" applyProtection="0">
      <alignment vertical="center"/>
    </xf>
    <xf numFmtId="0" fontId="5" fillId="6" borderId="0" applyNumberFormat="0" applyBorder="0" applyProtection="0">
      <alignment vertical="center"/>
    </xf>
    <xf numFmtId="0" fontId="6" fillId="0" borderId="0" applyNumberFormat="0" applyBorder="0" applyProtection="0">
      <alignment vertical="center"/>
    </xf>
    <xf numFmtId="0" fontId="8" fillId="0" borderId="0" applyNumberFormat="0" applyBorder="0" applyProtection="0">
      <alignment vertical="center"/>
    </xf>
    <xf numFmtId="0" fontId="11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4" fillId="0" borderId="0" applyNumberFormat="0" applyBorder="0" applyProtection="0">
      <alignment vertical="center"/>
    </xf>
  </cellStyleXfs>
  <cellXfs count="388">
    <xf numFmtId="0" fontId="0" fillId="0" borderId="0" xfId="0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171" fontId="15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7" fontId="18" fillId="0" borderId="0" xfId="0" applyNumberFormat="1" applyFont="1" applyAlignment="1">
      <alignment horizontal="center" vertical="center"/>
    </xf>
    <xf numFmtId="170" fontId="18" fillId="0" borderId="0" xfId="0" applyNumberFormat="1" applyFont="1" applyAlignment="1">
      <alignment horizontal="center" vertical="center"/>
    </xf>
    <xf numFmtId="168" fontId="18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69" fontId="15" fillId="0" borderId="0" xfId="0" applyNumberFormat="1" applyFont="1" applyAlignment="1">
      <alignment horizontal="center" vertical="center"/>
    </xf>
    <xf numFmtId="0" fontId="18" fillId="0" borderId="0" xfId="0" applyFont="1">
      <alignment vertical="center"/>
    </xf>
    <xf numFmtId="166" fontId="18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7" fontId="16" fillId="0" borderId="0" xfId="0" applyNumberFormat="1" applyFont="1" applyAlignment="1">
      <alignment horizontal="right" vertical="center"/>
    </xf>
    <xf numFmtId="168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171" fontId="19" fillId="0" borderId="0" xfId="0" applyNumberFormat="1" applyFont="1" applyAlignment="1">
      <alignment horizontal="center" vertical="center"/>
    </xf>
    <xf numFmtId="167" fontId="16" fillId="0" borderId="2" xfId="0" applyNumberFormat="1" applyFont="1" applyBorder="1" applyAlignment="1">
      <alignment horizontal="left" vertical="center"/>
    </xf>
    <xf numFmtId="167" fontId="16" fillId="0" borderId="3" xfId="0" applyNumberFormat="1" applyFont="1" applyBorder="1" applyAlignment="1">
      <alignment horizontal="center" vertical="center"/>
    </xf>
    <xf numFmtId="169" fontId="19" fillId="0" borderId="0" xfId="0" applyNumberFormat="1" applyFont="1" applyAlignment="1">
      <alignment horizontal="center" vertical="center"/>
    </xf>
    <xf numFmtId="0" fontId="17" fillId="0" borderId="0" xfId="0" applyFont="1">
      <alignment vertical="center"/>
    </xf>
    <xf numFmtId="164" fontId="16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171" fontId="19" fillId="0" borderId="5" xfId="0" applyNumberFormat="1" applyFont="1" applyBorder="1" applyAlignment="1">
      <alignment horizontal="center" vertical="center"/>
    </xf>
    <xf numFmtId="167" fontId="16" fillId="0" borderId="2" xfId="0" applyNumberFormat="1" applyFont="1" applyBorder="1" applyAlignment="1">
      <alignment horizontal="center" vertical="center"/>
    </xf>
    <xf numFmtId="170" fontId="16" fillId="0" borderId="5" xfId="0" applyNumberFormat="1" applyFont="1" applyBorder="1" applyAlignment="1">
      <alignment horizontal="center" vertical="center"/>
    </xf>
    <xf numFmtId="167" fontId="16" fillId="0" borderId="5" xfId="0" applyNumberFormat="1" applyFont="1" applyBorder="1" applyAlignment="1">
      <alignment horizontal="center" vertical="center"/>
    </xf>
    <xf numFmtId="168" fontId="16" fillId="0" borderId="3" xfId="0" applyNumberFormat="1" applyFont="1" applyBorder="1" applyAlignment="1">
      <alignment horizontal="center" vertical="center"/>
    </xf>
    <xf numFmtId="164" fontId="19" fillId="0" borderId="4" xfId="0" applyNumberFormat="1" applyFont="1" applyBorder="1" applyAlignment="1">
      <alignment horizontal="center" vertical="center"/>
    </xf>
    <xf numFmtId="169" fontId="19" fillId="0" borderId="3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164" fontId="16" fillId="0" borderId="9" xfId="0" applyNumberFormat="1" applyFont="1" applyBorder="1" applyAlignment="1">
      <alignment horizontal="center" vertical="center"/>
    </xf>
    <xf numFmtId="169" fontId="16" fillId="0" borderId="8" xfId="0" applyNumberFormat="1" applyFont="1" applyBorder="1" applyAlignment="1">
      <alignment horizontal="center" vertical="center"/>
    </xf>
    <xf numFmtId="164" fontId="16" fillId="0" borderId="8" xfId="0" applyNumberFormat="1" applyFont="1" applyBorder="1" applyAlignment="1">
      <alignment horizontal="center" vertical="center"/>
    </xf>
    <xf numFmtId="164" fontId="19" fillId="0" borderId="8" xfId="0" applyNumberFormat="1" applyFont="1" applyBorder="1" applyAlignment="1">
      <alignment horizontal="center" vertical="center"/>
    </xf>
    <xf numFmtId="164" fontId="19" fillId="0" borderId="7" xfId="0" applyNumberFormat="1" applyFont="1" applyBorder="1" applyAlignment="1">
      <alignment horizontal="center" vertical="center"/>
    </xf>
    <xf numFmtId="166" fontId="16" fillId="0" borderId="4" xfId="0" applyNumberFormat="1" applyFont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171" fontId="15" fillId="0" borderId="6" xfId="0" applyNumberFormat="1" applyFont="1" applyFill="1" applyBorder="1" applyAlignment="1">
      <alignment horizontal="center" vertical="center"/>
    </xf>
    <xf numFmtId="167" fontId="18" fillId="0" borderId="6" xfId="0" applyNumberFormat="1" applyFont="1" applyFill="1" applyBorder="1" applyAlignment="1">
      <alignment horizontal="center" vertical="center"/>
    </xf>
    <xf numFmtId="170" fontId="18" fillId="0" borderId="6" xfId="0" applyNumberFormat="1" applyFont="1" applyFill="1" applyBorder="1" applyAlignment="1">
      <alignment horizontal="center" vertical="center"/>
    </xf>
    <xf numFmtId="168" fontId="18" fillId="0" borderId="9" xfId="0" applyNumberFormat="1" applyFont="1" applyFill="1" applyBorder="1" applyAlignment="1">
      <alignment horizontal="center" vertical="center"/>
    </xf>
    <xf numFmtId="164" fontId="15" fillId="0" borderId="9" xfId="0" applyNumberFormat="1" applyFont="1" applyFill="1" applyBorder="1" applyAlignment="1">
      <alignment horizontal="center" vertical="center"/>
    </xf>
    <xf numFmtId="169" fontId="15" fillId="0" borderId="9" xfId="0" applyNumberFormat="1" applyFont="1" applyFill="1" applyBorder="1" applyAlignment="1">
      <alignment horizontal="center" vertical="center"/>
    </xf>
    <xf numFmtId="0" fontId="18" fillId="0" borderId="0" xfId="0" applyFont="1" applyFill="1">
      <alignment vertical="center"/>
    </xf>
    <xf numFmtId="0" fontId="18" fillId="0" borderId="6" xfId="0" applyFont="1" applyBorder="1" applyAlignment="1">
      <alignment horizontal="center" vertical="center"/>
    </xf>
    <xf numFmtId="169" fontId="18" fillId="0" borderId="6" xfId="0" applyNumberFormat="1" applyFont="1" applyBorder="1" applyAlignment="1">
      <alignment horizontal="center" vertical="center"/>
    </xf>
    <xf numFmtId="164" fontId="18" fillId="0" borderId="6" xfId="0" applyNumberFormat="1" applyFont="1" applyBorder="1" applyAlignment="1">
      <alignment horizontal="center" vertical="center"/>
    </xf>
    <xf numFmtId="164" fontId="15" fillId="0" borderId="6" xfId="0" applyNumberFormat="1" applyFont="1" applyBorder="1" applyAlignment="1">
      <alignment horizontal="center" vertical="center"/>
    </xf>
    <xf numFmtId="182" fontId="18" fillId="0" borderId="0" xfId="0" applyNumberFormat="1" applyFont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171" fontId="15" fillId="0" borderId="0" xfId="0" applyNumberFormat="1" applyFont="1" applyFill="1" applyAlignment="1">
      <alignment horizontal="center" vertical="center"/>
    </xf>
    <xf numFmtId="167" fontId="18" fillId="0" borderId="0" xfId="0" applyNumberFormat="1" applyFont="1" applyFill="1" applyAlignment="1">
      <alignment horizontal="center" vertical="center"/>
    </xf>
    <xf numFmtId="170" fontId="18" fillId="0" borderId="0" xfId="0" applyNumberFormat="1" applyFont="1" applyFill="1" applyAlignment="1">
      <alignment horizontal="center" vertical="center"/>
    </xf>
    <xf numFmtId="168" fontId="18" fillId="0" borderId="11" xfId="0" applyNumberFormat="1" applyFont="1" applyFill="1" applyBorder="1" applyAlignment="1">
      <alignment horizontal="center" vertical="center"/>
    </xf>
    <xf numFmtId="164" fontId="15" fillId="0" borderId="11" xfId="0" applyNumberFormat="1" applyFont="1" applyFill="1" applyBorder="1" applyAlignment="1">
      <alignment horizontal="center" vertical="center"/>
    </xf>
    <xf numFmtId="169" fontId="15" fillId="0" borderId="11" xfId="0" applyNumberFormat="1" applyFont="1" applyFill="1" applyBorder="1" applyAlignment="1">
      <alignment horizontal="center" vertical="center"/>
    </xf>
    <xf numFmtId="169" fontId="18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169" fontId="16" fillId="0" borderId="0" xfId="0" applyNumberFormat="1" applyFont="1" applyAlignment="1">
      <alignment horizontal="center" vertical="center"/>
    </xf>
    <xf numFmtId="168" fontId="16" fillId="0" borderId="11" xfId="0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168" fontId="15" fillId="0" borderId="11" xfId="0" applyNumberFormat="1" applyFont="1" applyFill="1" applyBorder="1" applyAlignment="1">
      <alignment horizontal="center" vertical="center"/>
    </xf>
    <xf numFmtId="167" fontId="16" fillId="0" borderId="0" xfId="0" applyNumberFormat="1" applyFont="1" applyFill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right" vertical="center"/>
    </xf>
    <xf numFmtId="164" fontId="16" fillId="0" borderId="0" xfId="0" applyNumberFormat="1" applyFont="1" applyAlignment="1">
      <alignment horizontal="left" vertical="center"/>
    </xf>
    <xf numFmtId="168" fontId="15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183" fontId="16" fillId="0" borderId="0" xfId="0" applyNumberFormat="1" applyFont="1" applyAlignment="1">
      <alignment horizontal="center" vertical="center"/>
    </xf>
    <xf numFmtId="164" fontId="18" fillId="0" borderId="0" xfId="0" applyNumberFormat="1" applyFont="1">
      <alignment vertical="center"/>
    </xf>
    <xf numFmtId="164" fontId="15" fillId="0" borderId="0" xfId="0" applyNumberFormat="1" applyFont="1">
      <alignment vertical="center"/>
    </xf>
    <xf numFmtId="165" fontId="18" fillId="0" borderId="0" xfId="0" applyNumberFormat="1" applyFont="1">
      <alignment vertical="center"/>
    </xf>
    <xf numFmtId="0" fontId="16" fillId="0" borderId="0" xfId="0" applyFont="1" applyFill="1" applyAlignment="1">
      <alignment horizontal="right" vertical="center"/>
    </xf>
    <xf numFmtId="0" fontId="18" fillId="0" borderId="0" xfId="0" applyFont="1" applyFill="1" applyAlignment="1">
      <alignment horizontal="left" vertical="center"/>
    </xf>
    <xf numFmtId="166" fontId="18" fillId="0" borderId="0" xfId="0" applyNumberFormat="1" applyFont="1" applyFill="1" applyAlignment="1">
      <alignment horizontal="center" vertical="center"/>
    </xf>
    <xf numFmtId="164" fontId="19" fillId="0" borderId="11" xfId="0" applyNumberFormat="1" applyFont="1" applyFill="1" applyBorder="1" applyAlignment="1">
      <alignment horizontal="center" vertical="center"/>
    </xf>
    <xf numFmtId="169" fontId="19" fillId="0" borderId="11" xfId="0" applyNumberFormat="1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171" fontId="15" fillId="0" borderId="21" xfId="0" applyNumberFormat="1" applyFont="1" applyFill="1" applyBorder="1" applyAlignment="1">
      <alignment horizontal="center" vertical="center"/>
    </xf>
    <xf numFmtId="167" fontId="18" fillId="0" borderId="21" xfId="0" applyNumberFormat="1" applyFont="1" applyFill="1" applyBorder="1" applyAlignment="1">
      <alignment horizontal="center" vertical="center"/>
    </xf>
    <xf numFmtId="170" fontId="18" fillId="0" borderId="21" xfId="0" applyNumberFormat="1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171" fontId="19" fillId="0" borderId="13" xfId="0" applyNumberFormat="1" applyFont="1" applyBorder="1" applyAlignment="1">
      <alignment horizontal="center" vertical="center"/>
    </xf>
    <xf numFmtId="169" fontId="16" fillId="0" borderId="15" xfId="0" applyNumberFormat="1" applyFont="1" applyBorder="1" applyAlignment="1">
      <alignment horizontal="center" vertical="center"/>
    </xf>
    <xf numFmtId="167" fontId="16" fillId="0" borderId="15" xfId="0" applyNumberFormat="1" applyFont="1" applyBorder="1" applyAlignment="1">
      <alignment horizontal="center" vertical="center"/>
    </xf>
    <xf numFmtId="170" fontId="16" fillId="0" borderId="15" xfId="0" applyNumberFormat="1" applyFont="1" applyBorder="1" applyAlignment="1">
      <alignment horizontal="center" vertical="center"/>
    </xf>
    <xf numFmtId="169" fontId="19" fillId="0" borderId="4" xfId="0" applyNumberFormat="1" applyFont="1" applyBorder="1" applyAlignment="1">
      <alignment horizontal="center" vertical="center"/>
    </xf>
    <xf numFmtId="170" fontId="16" fillId="0" borderId="4" xfId="0" applyNumberFormat="1" applyFont="1" applyBorder="1" applyAlignment="1">
      <alignment horizontal="center" vertical="center"/>
    </xf>
    <xf numFmtId="167" fontId="16" fillId="0" borderId="4" xfId="0" applyNumberFormat="1" applyFont="1" applyBorder="1" applyAlignment="1">
      <alignment horizontal="center" vertical="center"/>
    </xf>
    <xf numFmtId="168" fontId="16" fillId="0" borderId="4" xfId="0" applyNumberFormat="1" applyFont="1" applyBorder="1" applyAlignment="1">
      <alignment horizontal="center" vertical="center"/>
    </xf>
    <xf numFmtId="167" fontId="16" fillId="0" borderId="0" xfId="0" applyNumberFormat="1" applyFont="1" applyAlignment="1">
      <alignment horizontal="center" vertical="center"/>
    </xf>
    <xf numFmtId="170" fontId="16" fillId="0" borderId="0" xfId="0" applyNumberFormat="1" applyFont="1" applyAlignment="1">
      <alignment horizontal="center" vertical="center"/>
    </xf>
    <xf numFmtId="168" fontId="19" fillId="0" borderId="0" xfId="0" applyNumberFormat="1" applyFont="1" applyAlignment="1">
      <alignment horizontal="right" vertical="center"/>
    </xf>
    <xf numFmtId="168" fontId="19" fillId="0" borderId="2" xfId="0" applyNumberFormat="1" applyFont="1" applyBorder="1" applyAlignment="1">
      <alignment horizontal="center" vertical="center"/>
    </xf>
    <xf numFmtId="164" fontId="19" fillId="0" borderId="3" xfId="0" applyNumberFormat="1" applyFont="1" applyBorder="1" applyAlignment="1">
      <alignment horizontal="center" vertical="center"/>
    </xf>
    <xf numFmtId="170" fontId="18" fillId="0" borderId="0" xfId="0" applyNumberFormat="1" applyFont="1">
      <alignment vertical="center"/>
    </xf>
    <xf numFmtId="172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18" fillId="0" borderId="0" xfId="0" applyNumberFormat="1" applyFont="1" applyAlignment="1">
      <alignment horizontal="center" vertical="center"/>
    </xf>
    <xf numFmtId="166" fontId="23" fillId="0" borderId="0" xfId="0" applyNumberFormat="1" applyFont="1" applyAlignment="1">
      <alignment horizontal="center" vertical="center"/>
    </xf>
    <xf numFmtId="173" fontId="18" fillId="0" borderId="0" xfId="0" applyNumberFormat="1" applyFont="1" applyAlignment="1">
      <alignment horizontal="center" vertical="center"/>
    </xf>
    <xf numFmtId="167" fontId="16" fillId="0" borderId="0" xfId="0" applyNumberFormat="1" applyFont="1" applyAlignment="1">
      <alignment vertical="center"/>
    </xf>
    <xf numFmtId="168" fontId="18" fillId="0" borderId="0" xfId="0" applyNumberFormat="1" applyFont="1" applyAlignment="1">
      <alignment vertical="center"/>
    </xf>
    <xf numFmtId="174" fontId="18" fillId="0" borderId="0" xfId="0" applyNumberFormat="1" applyFont="1" applyAlignment="1">
      <alignment horizontal="left" vertical="center"/>
    </xf>
    <xf numFmtId="17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left" vertical="center"/>
    </xf>
    <xf numFmtId="176" fontId="19" fillId="0" borderId="0" xfId="0" applyNumberFormat="1" applyFont="1" applyAlignment="1">
      <alignment horizontal="center" vertical="center"/>
    </xf>
    <xf numFmtId="9" fontId="18" fillId="0" borderId="0" xfId="0" applyNumberFormat="1" applyFont="1" applyAlignment="1">
      <alignment horizontal="left" vertical="center"/>
    </xf>
    <xf numFmtId="177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165" fontId="16" fillId="0" borderId="8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166" fontId="16" fillId="0" borderId="8" xfId="0" applyNumberFormat="1" applyFont="1" applyBorder="1" applyAlignment="1">
      <alignment horizontal="center" vertical="center"/>
    </xf>
    <xf numFmtId="165" fontId="16" fillId="0" borderId="6" xfId="0" applyNumberFormat="1" applyFont="1" applyBorder="1" applyAlignment="1">
      <alignment horizontal="center" vertical="center"/>
    </xf>
    <xf numFmtId="166" fontId="16" fillId="0" borderId="9" xfId="0" applyNumberFormat="1" applyFont="1" applyBorder="1" applyAlignment="1">
      <alignment horizontal="center" vertical="center"/>
    </xf>
    <xf numFmtId="166" fontId="16" fillId="0" borderId="6" xfId="0" applyNumberFormat="1" applyFont="1" applyBorder="1" applyAlignment="1">
      <alignment horizontal="center" vertical="center"/>
    </xf>
    <xf numFmtId="170" fontId="16" fillId="0" borderId="7" xfId="0" applyNumberFormat="1" applyFont="1" applyBorder="1" applyAlignment="1">
      <alignment horizontal="center" vertical="center"/>
    </xf>
    <xf numFmtId="164" fontId="16" fillId="0" borderId="7" xfId="0" applyNumberFormat="1" applyFont="1" applyBorder="1" applyAlignment="1">
      <alignment horizontal="center" vertical="center"/>
    </xf>
    <xf numFmtId="167" fontId="16" fillId="0" borderId="8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164" fontId="19" fillId="0" borderId="5" xfId="0" applyNumberFormat="1" applyFont="1" applyBorder="1" applyAlignment="1">
      <alignment horizontal="center" vertical="center"/>
    </xf>
    <xf numFmtId="169" fontId="19" fillId="0" borderId="2" xfId="0" applyNumberFormat="1" applyFont="1" applyBorder="1" applyAlignment="1">
      <alignment horizontal="center" vertical="center"/>
    </xf>
    <xf numFmtId="164" fontId="16" fillId="0" borderId="12" xfId="0" applyNumberFormat="1" applyFont="1" applyBorder="1" applyAlignment="1">
      <alignment horizontal="center" vertical="center"/>
    </xf>
    <xf numFmtId="164" fontId="16" fillId="0" borderId="14" xfId="0" applyNumberFormat="1" applyFont="1" applyBorder="1" applyAlignment="1">
      <alignment horizontal="center" vertical="center"/>
    </xf>
    <xf numFmtId="164" fontId="16" fillId="0" borderId="5" xfId="0" applyNumberFormat="1" applyFont="1" applyBorder="1" applyAlignment="1">
      <alignment horizontal="center" vertical="center"/>
    </xf>
    <xf numFmtId="166" fontId="16" fillId="0" borderId="2" xfId="0" applyNumberFormat="1" applyFont="1" applyBorder="1" applyAlignment="1">
      <alignment horizontal="center" vertical="center"/>
    </xf>
    <xf numFmtId="178" fontId="16" fillId="0" borderId="0" xfId="0" applyNumberFormat="1" applyFont="1" applyAlignment="1">
      <alignment horizontal="center" vertical="center"/>
    </xf>
    <xf numFmtId="0" fontId="18" fillId="0" borderId="25" xfId="0" applyFont="1" applyBorder="1" applyAlignment="1">
      <alignment horizontal="left" vertical="center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8" xfId="0" applyFont="1" applyBorder="1" applyAlignment="1">
      <alignment vertical="center"/>
    </xf>
    <xf numFmtId="179" fontId="18" fillId="0" borderId="27" xfId="0" applyNumberFormat="1" applyFont="1" applyBorder="1" applyAlignment="1">
      <alignment horizontal="right" vertical="center"/>
    </xf>
    <xf numFmtId="179" fontId="18" fillId="0" borderId="28" xfId="0" applyNumberFormat="1" applyFont="1" applyBorder="1" applyAlignment="1">
      <alignment vertical="center"/>
    </xf>
    <xf numFmtId="165" fontId="18" fillId="0" borderId="26" xfId="0" applyNumberFormat="1" applyFont="1" applyBorder="1" applyAlignment="1">
      <alignment horizontal="center" vertical="center"/>
    </xf>
    <xf numFmtId="179" fontId="18" fillId="0" borderId="26" xfId="0" applyNumberFormat="1" applyFont="1" applyBorder="1" applyAlignment="1">
      <alignment horizontal="center" vertical="center"/>
    </xf>
    <xf numFmtId="165" fontId="18" fillId="0" borderId="29" xfId="0" applyNumberFormat="1" applyFont="1" applyBorder="1" applyAlignment="1">
      <alignment horizontal="center" vertical="center"/>
    </xf>
    <xf numFmtId="179" fontId="18" fillId="0" borderId="26" xfId="0" applyNumberFormat="1" applyFont="1" applyBorder="1" applyAlignment="1">
      <alignment vertical="center"/>
    </xf>
    <xf numFmtId="166" fontId="18" fillId="0" borderId="27" xfId="0" applyNumberFormat="1" applyFont="1" applyBorder="1" applyAlignment="1">
      <alignment horizontal="center" vertical="center"/>
    </xf>
    <xf numFmtId="166" fontId="18" fillId="0" borderId="29" xfId="0" applyNumberFormat="1" applyFont="1" applyBorder="1" applyAlignment="1">
      <alignment horizontal="center" vertical="center"/>
    </xf>
    <xf numFmtId="170" fontId="18" fillId="0" borderId="29" xfId="0" applyNumberFormat="1" applyFont="1" applyBorder="1" applyAlignment="1">
      <alignment horizontal="center" vertical="center"/>
    </xf>
    <xf numFmtId="177" fontId="18" fillId="0" borderId="29" xfId="0" applyNumberFormat="1" applyFont="1" applyBorder="1" applyAlignment="1">
      <alignment horizontal="center" vertical="center"/>
    </xf>
    <xf numFmtId="0" fontId="18" fillId="0" borderId="30" xfId="0" applyFont="1" applyBorder="1">
      <alignment vertical="center"/>
    </xf>
    <xf numFmtId="0" fontId="18" fillId="0" borderId="31" xfId="0" applyFont="1" applyBorder="1" applyAlignment="1">
      <alignment horizontal="left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vertical="center"/>
    </xf>
    <xf numFmtId="179" fontId="18" fillId="0" borderId="14" xfId="0" applyNumberFormat="1" applyFont="1" applyBorder="1" applyAlignment="1">
      <alignment horizontal="right" vertical="center"/>
    </xf>
    <xf numFmtId="179" fontId="18" fillId="0" borderId="12" xfId="0" applyNumberFormat="1" applyFont="1" applyBorder="1" applyAlignment="1">
      <alignment vertical="center"/>
    </xf>
    <xf numFmtId="165" fontId="18" fillId="0" borderId="13" xfId="0" applyNumberFormat="1" applyFont="1" applyBorder="1" applyAlignment="1">
      <alignment horizontal="center" vertical="center"/>
    </xf>
    <xf numFmtId="179" fontId="18" fillId="0" borderId="13" xfId="0" applyNumberFormat="1" applyFont="1" applyBorder="1" applyAlignment="1">
      <alignment horizontal="center" vertical="center"/>
    </xf>
    <xf numFmtId="165" fontId="18" fillId="0" borderId="14" xfId="0" applyNumberFormat="1" applyFont="1" applyBorder="1" applyAlignment="1">
      <alignment horizontal="center" vertical="center"/>
    </xf>
    <xf numFmtId="165" fontId="18" fillId="0" borderId="15" xfId="0" applyNumberFormat="1" applyFont="1" applyBorder="1" applyAlignment="1">
      <alignment horizontal="center" vertical="center"/>
    </xf>
    <xf numFmtId="179" fontId="18" fillId="0" borderId="13" xfId="0" applyNumberFormat="1" applyFont="1" applyBorder="1" applyAlignment="1">
      <alignment vertical="center"/>
    </xf>
    <xf numFmtId="166" fontId="18" fillId="0" borderId="14" xfId="0" applyNumberFormat="1" applyFont="1" applyBorder="1" applyAlignment="1">
      <alignment horizontal="center" vertical="center"/>
    </xf>
    <xf numFmtId="166" fontId="18" fillId="0" borderId="15" xfId="0" applyNumberFormat="1" applyFont="1" applyBorder="1" applyAlignment="1">
      <alignment horizontal="center" vertical="center"/>
    </xf>
    <xf numFmtId="170" fontId="18" fillId="0" borderId="15" xfId="0" applyNumberFormat="1" applyFont="1" applyBorder="1" applyAlignment="1">
      <alignment horizontal="center" vertical="center"/>
    </xf>
    <xf numFmtId="177" fontId="18" fillId="0" borderId="16" xfId="0" applyNumberFormat="1" applyFont="1" applyBorder="1" applyAlignment="1">
      <alignment horizontal="center" vertical="center"/>
    </xf>
    <xf numFmtId="0" fontId="18" fillId="0" borderId="14" xfId="0" applyFont="1" applyBorder="1">
      <alignment vertical="center"/>
    </xf>
    <xf numFmtId="0" fontId="18" fillId="0" borderId="32" xfId="0" applyFont="1" applyBorder="1">
      <alignment vertical="center"/>
    </xf>
    <xf numFmtId="0" fontId="18" fillId="0" borderId="33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7" xfId="0" applyFont="1" applyBorder="1" applyAlignment="1">
      <alignment vertical="center"/>
    </xf>
    <xf numFmtId="179" fontId="18" fillId="0" borderId="11" xfId="0" applyNumberFormat="1" applyFont="1" applyBorder="1" applyAlignment="1">
      <alignment horizontal="right" vertical="center"/>
    </xf>
    <xf numFmtId="179" fontId="18" fillId="0" borderId="10" xfId="0" applyNumberFormat="1" applyFont="1" applyBorder="1" applyAlignment="1">
      <alignment vertical="center"/>
    </xf>
    <xf numFmtId="165" fontId="18" fillId="0" borderId="0" xfId="0" applyNumberFormat="1" applyFont="1" applyBorder="1" applyAlignment="1">
      <alignment horizontal="center" vertical="center"/>
    </xf>
    <xf numFmtId="165" fontId="18" fillId="0" borderId="11" xfId="0" applyNumberFormat="1" applyFont="1" applyBorder="1" applyAlignment="1">
      <alignment horizontal="center" vertical="center"/>
    </xf>
    <xf numFmtId="180" fontId="18" fillId="0" borderId="0" xfId="0" applyNumberFormat="1" applyFont="1" applyBorder="1" applyAlignment="1">
      <alignment horizontal="center" vertical="center"/>
    </xf>
    <xf numFmtId="166" fontId="18" fillId="0" borderId="9" xfId="0" applyNumberFormat="1" applyFont="1" applyBorder="1" applyAlignment="1">
      <alignment horizontal="center" vertical="center"/>
    </xf>
    <xf numFmtId="166" fontId="18" fillId="0" borderId="16" xfId="0" applyNumberFormat="1" applyFont="1" applyBorder="1" applyAlignment="1">
      <alignment horizontal="center" vertical="center"/>
    </xf>
    <xf numFmtId="170" fontId="18" fillId="0" borderId="16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34" xfId="0" applyFont="1" applyBorder="1">
      <alignment vertical="center"/>
    </xf>
    <xf numFmtId="0" fontId="18" fillId="0" borderId="15" xfId="0" applyFont="1" applyBorder="1" applyAlignment="1">
      <alignment horizontal="center" vertical="center"/>
    </xf>
    <xf numFmtId="180" fontId="18" fillId="0" borderId="13" xfId="0" applyNumberFormat="1" applyFont="1" applyBorder="1" applyAlignment="1">
      <alignment horizontal="center" vertical="center"/>
    </xf>
    <xf numFmtId="0" fontId="18" fillId="0" borderId="35" xfId="0" applyFont="1" applyBorder="1" applyAlignment="1">
      <alignment horizontal="left" vertical="center"/>
    </xf>
    <xf numFmtId="0" fontId="18" fillId="0" borderId="8" xfId="0" applyFont="1" applyBorder="1" applyAlignment="1">
      <alignment horizontal="center" vertical="center"/>
    </xf>
    <xf numFmtId="179" fontId="18" fillId="0" borderId="9" xfId="0" applyNumberFormat="1" applyFont="1" applyBorder="1" applyAlignment="1">
      <alignment horizontal="right" vertical="center"/>
    </xf>
    <xf numFmtId="179" fontId="18" fillId="0" borderId="7" xfId="0" applyNumberFormat="1" applyFont="1" applyBorder="1" applyAlignment="1">
      <alignment vertical="center"/>
    </xf>
    <xf numFmtId="165" fontId="18" fillId="0" borderId="6" xfId="0" applyNumberFormat="1" applyFont="1" applyBorder="1" applyAlignment="1">
      <alignment horizontal="center" vertical="center"/>
    </xf>
    <xf numFmtId="179" fontId="18" fillId="0" borderId="6" xfId="0" applyNumberFormat="1" applyFont="1" applyBorder="1" applyAlignment="1">
      <alignment horizontal="center" vertical="center"/>
    </xf>
    <xf numFmtId="165" fontId="18" fillId="0" borderId="8" xfId="0" applyNumberFormat="1" applyFont="1" applyBorder="1" applyAlignment="1">
      <alignment horizontal="center" vertical="center"/>
    </xf>
    <xf numFmtId="166" fontId="18" fillId="0" borderId="11" xfId="0" applyNumberFormat="1" applyFont="1" applyBorder="1" applyAlignment="1">
      <alignment horizontal="center" vertical="center"/>
    </xf>
    <xf numFmtId="170" fontId="18" fillId="0" borderId="8" xfId="0" applyNumberFormat="1" applyFont="1" applyBorder="1" applyAlignment="1">
      <alignment horizontal="center" vertical="center"/>
    </xf>
    <xf numFmtId="179" fontId="18" fillId="0" borderId="0" xfId="0" applyNumberFormat="1" applyFont="1" applyBorder="1" applyAlignment="1">
      <alignment horizontal="right" vertical="center"/>
    </xf>
    <xf numFmtId="179" fontId="18" fillId="0" borderId="10" xfId="0" applyNumberFormat="1" applyFont="1" applyBorder="1" applyAlignment="1">
      <alignment horizontal="right" vertical="center"/>
    </xf>
    <xf numFmtId="165" fontId="18" fillId="0" borderId="16" xfId="0" applyNumberFormat="1" applyFont="1" applyBorder="1" applyAlignment="1">
      <alignment horizontal="center" vertical="center"/>
    </xf>
    <xf numFmtId="179" fontId="18" fillId="0" borderId="13" xfId="0" applyNumberFormat="1" applyFont="1" applyBorder="1" applyAlignment="1">
      <alignment horizontal="right" vertical="center"/>
    </xf>
    <xf numFmtId="179" fontId="18" fillId="0" borderId="12" xfId="0" applyNumberFormat="1" applyFont="1" applyBorder="1" applyAlignment="1">
      <alignment horizontal="right" vertical="center"/>
    </xf>
    <xf numFmtId="166" fontId="16" fillId="0" borderId="15" xfId="0" applyNumberFormat="1" applyFont="1" applyBorder="1" applyAlignment="1">
      <alignment horizontal="center" vertical="center"/>
    </xf>
    <xf numFmtId="0" fontId="18" fillId="0" borderId="35" xfId="0" applyFont="1" applyBorder="1">
      <alignment vertical="center"/>
    </xf>
    <xf numFmtId="179" fontId="18" fillId="0" borderId="9" xfId="0" applyNumberFormat="1" applyFont="1" applyBorder="1">
      <alignment vertical="center"/>
    </xf>
    <xf numFmtId="179" fontId="18" fillId="0" borderId="7" xfId="0" applyNumberFormat="1" applyFont="1" applyBorder="1">
      <alignment vertical="center"/>
    </xf>
    <xf numFmtId="165" fontId="18" fillId="0" borderId="9" xfId="0" applyNumberFormat="1" applyFont="1" applyBorder="1" applyAlignment="1">
      <alignment horizontal="center" vertical="center"/>
    </xf>
    <xf numFmtId="165" fontId="18" fillId="0" borderId="7" xfId="0" applyNumberFormat="1" applyFont="1" applyBorder="1" applyAlignment="1">
      <alignment horizontal="center" vertical="center"/>
    </xf>
    <xf numFmtId="0" fontId="18" fillId="0" borderId="31" xfId="0" applyFont="1" applyBorder="1">
      <alignment vertical="center"/>
    </xf>
    <xf numFmtId="179" fontId="18" fillId="0" borderId="14" xfId="0" applyNumberFormat="1" applyFont="1" applyBorder="1">
      <alignment vertical="center"/>
    </xf>
    <xf numFmtId="179" fontId="18" fillId="0" borderId="12" xfId="0" applyNumberFormat="1" applyFont="1" applyBorder="1">
      <alignment vertical="center"/>
    </xf>
    <xf numFmtId="166" fontId="18" fillId="0" borderId="13" xfId="0" applyNumberFormat="1" applyFont="1" applyBorder="1" applyAlignment="1">
      <alignment horizontal="center" vertical="center"/>
    </xf>
    <xf numFmtId="179" fontId="18" fillId="0" borderId="13" xfId="0" applyNumberFormat="1" applyFont="1" applyBorder="1">
      <alignment vertical="center"/>
    </xf>
    <xf numFmtId="0" fontId="18" fillId="0" borderId="7" xfId="0" applyFont="1" applyBorder="1" applyAlignment="1">
      <alignment horizontal="center" vertical="center"/>
    </xf>
    <xf numFmtId="179" fontId="18" fillId="0" borderId="6" xfId="0" applyNumberFormat="1" applyFont="1" applyBorder="1" applyAlignment="1">
      <alignment vertical="center"/>
    </xf>
    <xf numFmtId="181" fontId="18" fillId="0" borderId="0" xfId="0" applyNumberFormat="1" applyFont="1" applyBorder="1" applyAlignment="1">
      <alignment horizontal="right" vertical="center"/>
    </xf>
    <xf numFmtId="181" fontId="18" fillId="0" borderId="10" xfId="0" applyNumberFormat="1" applyFont="1" applyBorder="1" applyAlignment="1">
      <alignment vertical="center"/>
    </xf>
    <xf numFmtId="181" fontId="18" fillId="0" borderId="0" xfId="0" applyNumberFormat="1" applyFont="1" applyBorder="1" applyAlignment="1">
      <alignment horizontal="center" vertical="center"/>
    </xf>
    <xf numFmtId="165" fontId="18" fillId="0" borderId="10" xfId="0" applyNumberFormat="1" applyFont="1" applyBorder="1" applyAlignment="1">
      <alignment horizontal="center" vertical="center"/>
    </xf>
    <xf numFmtId="181" fontId="18" fillId="0" borderId="13" xfId="0" applyNumberFormat="1" applyFont="1" applyBorder="1" applyAlignment="1">
      <alignment horizontal="right" vertical="center"/>
    </xf>
    <xf numFmtId="181" fontId="18" fillId="0" borderId="12" xfId="0" applyNumberFormat="1" applyFont="1" applyBorder="1" applyAlignment="1">
      <alignment vertical="center"/>
    </xf>
    <xf numFmtId="181" fontId="18" fillId="0" borderId="13" xfId="0" applyNumberFormat="1" applyFont="1" applyBorder="1" applyAlignment="1">
      <alignment horizontal="center" vertical="center"/>
    </xf>
    <xf numFmtId="165" fontId="18" fillId="0" borderId="12" xfId="0" applyNumberFormat="1" applyFont="1" applyBorder="1" applyAlignment="1">
      <alignment horizontal="center" vertical="center"/>
    </xf>
    <xf numFmtId="166" fontId="18" fillId="0" borderId="8" xfId="0" applyNumberFormat="1" applyFont="1" applyBorder="1" applyAlignment="1">
      <alignment horizontal="center" vertical="center"/>
    </xf>
    <xf numFmtId="0" fontId="24" fillId="0" borderId="35" xfId="0" applyFont="1" applyBorder="1" applyAlignment="1">
      <alignment horizontal="left" vertical="center"/>
    </xf>
    <xf numFmtId="0" fontId="24" fillId="0" borderId="6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40" xfId="0" applyFont="1" applyBorder="1" applyAlignment="1">
      <alignment vertical="center"/>
    </xf>
    <xf numFmtId="179" fontId="18" fillId="0" borderId="38" xfId="0" applyNumberFormat="1" applyFont="1" applyBorder="1" applyAlignment="1">
      <alignment horizontal="right" vertical="center"/>
    </xf>
    <xf numFmtId="179" fontId="18" fillId="0" borderId="40" xfId="0" applyNumberFormat="1" applyFont="1" applyBorder="1" applyAlignment="1">
      <alignment vertical="center"/>
    </xf>
    <xf numFmtId="165" fontId="18" fillId="0" borderId="37" xfId="0" applyNumberFormat="1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166" fontId="18" fillId="0" borderId="38" xfId="0" applyNumberFormat="1" applyFont="1" applyBorder="1" applyAlignment="1">
      <alignment horizontal="center" vertical="center"/>
    </xf>
    <xf numFmtId="165" fontId="18" fillId="0" borderId="39" xfId="0" applyNumberFormat="1" applyFont="1" applyBorder="1" applyAlignment="1">
      <alignment horizontal="center" vertical="center"/>
    </xf>
    <xf numFmtId="179" fontId="18" fillId="0" borderId="37" xfId="0" applyNumberFormat="1" applyFont="1" applyBorder="1" applyAlignment="1">
      <alignment vertical="center"/>
    </xf>
    <xf numFmtId="166" fontId="16" fillId="0" borderId="39" xfId="0" applyNumberFormat="1" applyFont="1" applyBorder="1" applyAlignment="1">
      <alignment horizontal="center" vertical="center"/>
    </xf>
    <xf numFmtId="170" fontId="18" fillId="0" borderId="39" xfId="0" applyNumberFormat="1" applyFont="1" applyBorder="1" applyAlignment="1">
      <alignment horizontal="center" vertical="center"/>
    </xf>
    <xf numFmtId="177" fontId="18" fillId="0" borderId="39" xfId="0" applyNumberFormat="1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41" xfId="0" applyFont="1" applyBorder="1">
      <alignment vertical="center"/>
    </xf>
    <xf numFmtId="0" fontId="18" fillId="0" borderId="25" xfId="0" applyFont="1" applyFill="1" applyBorder="1" applyAlignment="1">
      <alignment horizontal="left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vertical="center"/>
    </xf>
    <xf numFmtId="179" fontId="18" fillId="0" borderId="27" xfId="0" applyNumberFormat="1" applyFont="1" applyFill="1" applyBorder="1" applyAlignment="1">
      <alignment horizontal="right" vertical="center"/>
    </xf>
    <xf numFmtId="179" fontId="18" fillId="0" borderId="28" xfId="0" applyNumberFormat="1" applyFont="1" applyFill="1" applyBorder="1" applyAlignment="1">
      <alignment vertical="center"/>
    </xf>
    <xf numFmtId="165" fontId="18" fillId="0" borderId="26" xfId="0" applyNumberFormat="1" applyFont="1" applyFill="1" applyBorder="1" applyAlignment="1">
      <alignment horizontal="center" vertical="center"/>
    </xf>
    <xf numFmtId="179" fontId="18" fillId="0" borderId="26" xfId="0" applyNumberFormat="1" applyFont="1" applyFill="1" applyBorder="1" applyAlignment="1">
      <alignment horizontal="center" vertical="center"/>
    </xf>
    <xf numFmtId="165" fontId="18" fillId="0" borderId="27" xfId="0" applyNumberFormat="1" applyFont="1" applyFill="1" applyBorder="1" applyAlignment="1">
      <alignment horizontal="center" vertical="center"/>
    </xf>
    <xf numFmtId="166" fontId="18" fillId="0" borderId="27" xfId="0" applyNumberFormat="1" applyFont="1" applyFill="1" applyBorder="1" applyAlignment="1">
      <alignment horizontal="center" vertical="center"/>
    </xf>
    <xf numFmtId="166" fontId="18" fillId="0" borderId="29" xfId="0" applyNumberFormat="1" applyFont="1" applyFill="1" applyBorder="1" applyAlignment="1">
      <alignment horizontal="center" vertical="center"/>
    </xf>
    <xf numFmtId="170" fontId="18" fillId="0" borderId="29" xfId="0" applyNumberFormat="1" applyFont="1" applyFill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31" xfId="0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vertical="center"/>
    </xf>
    <xf numFmtId="179" fontId="18" fillId="0" borderId="14" xfId="0" applyNumberFormat="1" applyFont="1" applyFill="1" applyBorder="1" applyAlignment="1">
      <alignment horizontal="right" vertical="center"/>
    </xf>
    <xf numFmtId="179" fontId="18" fillId="0" borderId="12" xfId="0" applyNumberFormat="1" applyFont="1" applyFill="1" applyBorder="1" applyAlignment="1">
      <alignment vertical="center"/>
    </xf>
    <xf numFmtId="165" fontId="18" fillId="0" borderId="13" xfId="0" applyNumberFormat="1" applyFont="1" applyFill="1" applyBorder="1" applyAlignment="1">
      <alignment horizontal="center" vertical="center"/>
    </xf>
    <xf numFmtId="166" fontId="18" fillId="0" borderId="14" xfId="0" applyNumberFormat="1" applyFont="1" applyFill="1" applyBorder="1" applyAlignment="1">
      <alignment horizontal="center" vertical="center"/>
    </xf>
    <xf numFmtId="179" fontId="18" fillId="0" borderId="13" xfId="0" applyNumberFormat="1" applyFont="1" applyFill="1" applyBorder="1" applyAlignment="1">
      <alignment horizontal="center" vertical="center"/>
    </xf>
    <xf numFmtId="166" fontId="18" fillId="0" borderId="15" xfId="0" applyNumberFormat="1" applyFont="1" applyFill="1" applyBorder="1" applyAlignment="1">
      <alignment horizontal="center" vertical="center"/>
    </xf>
    <xf numFmtId="170" fontId="18" fillId="0" borderId="15" xfId="0" applyNumberFormat="1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vertical="center"/>
    </xf>
    <xf numFmtId="179" fontId="18" fillId="0" borderId="11" xfId="0" applyNumberFormat="1" applyFont="1" applyFill="1" applyBorder="1" applyAlignment="1">
      <alignment horizontal="right" vertical="center"/>
    </xf>
    <xf numFmtId="179" fontId="18" fillId="0" borderId="10" xfId="0" applyNumberFormat="1" applyFont="1" applyFill="1" applyBorder="1" applyAlignment="1">
      <alignment vertical="center"/>
    </xf>
    <xf numFmtId="165" fontId="18" fillId="0" borderId="0" xfId="0" applyNumberFormat="1" applyFont="1" applyFill="1" applyBorder="1" applyAlignment="1">
      <alignment horizontal="center" vertical="center"/>
    </xf>
    <xf numFmtId="179" fontId="18" fillId="0" borderId="0" xfId="0" applyNumberFormat="1" applyFont="1" applyFill="1" applyBorder="1" applyAlignment="1">
      <alignment horizontal="center" vertical="center"/>
    </xf>
    <xf numFmtId="165" fontId="18" fillId="0" borderId="11" xfId="0" applyNumberFormat="1" applyFont="1" applyFill="1" applyBorder="1" applyAlignment="1">
      <alignment horizontal="center" vertical="center"/>
    </xf>
    <xf numFmtId="166" fontId="18" fillId="0" borderId="9" xfId="0" applyNumberFormat="1" applyFont="1" applyFill="1" applyBorder="1" applyAlignment="1">
      <alignment horizontal="center" vertical="center"/>
    </xf>
    <xf numFmtId="166" fontId="18" fillId="0" borderId="8" xfId="0" applyNumberFormat="1" applyFont="1" applyFill="1" applyBorder="1" applyAlignment="1">
      <alignment horizontal="center" vertical="center"/>
    </xf>
    <xf numFmtId="170" fontId="18" fillId="0" borderId="16" xfId="0" applyNumberFormat="1" applyFont="1" applyFill="1" applyBorder="1" applyAlignment="1">
      <alignment horizontal="center" vertical="center"/>
    </xf>
    <xf numFmtId="166" fontId="16" fillId="0" borderId="15" xfId="0" applyNumberFormat="1" applyFont="1" applyFill="1" applyBorder="1" applyAlignment="1">
      <alignment horizontal="center" vertical="center"/>
    </xf>
    <xf numFmtId="0" fontId="24" fillId="0" borderId="33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vertical="center"/>
    </xf>
    <xf numFmtId="179" fontId="18" fillId="0" borderId="6" xfId="0" applyNumberFormat="1" applyFont="1" applyFill="1" applyBorder="1" applyAlignment="1">
      <alignment vertical="center"/>
    </xf>
    <xf numFmtId="166" fontId="18" fillId="0" borderId="11" xfId="0" applyNumberFormat="1" applyFont="1" applyFill="1" applyBorder="1" applyAlignment="1">
      <alignment horizontal="center" vertical="center"/>
    </xf>
    <xf numFmtId="166" fontId="18" fillId="0" borderId="16" xfId="0" applyNumberFormat="1" applyFont="1" applyFill="1" applyBorder="1" applyAlignment="1">
      <alignment horizontal="center" vertical="center"/>
    </xf>
    <xf numFmtId="170" fontId="18" fillId="0" borderId="8" xfId="0" applyNumberFormat="1" applyFont="1" applyFill="1" applyBorder="1" applyAlignment="1">
      <alignment horizontal="center" vertical="center"/>
    </xf>
    <xf numFmtId="0" fontId="24" fillId="0" borderId="31" xfId="0" applyFont="1" applyFill="1" applyBorder="1" applyAlignment="1">
      <alignment horizontal="left" vertical="center"/>
    </xf>
    <xf numFmtId="0" fontId="24" fillId="0" borderId="13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179" fontId="18" fillId="0" borderId="13" xfId="0" applyNumberFormat="1" applyFont="1" applyFill="1" applyBorder="1" applyAlignment="1">
      <alignment vertical="center"/>
    </xf>
    <xf numFmtId="181" fontId="18" fillId="0" borderId="0" xfId="0" applyNumberFormat="1" applyFont="1" applyFill="1" applyBorder="1" applyAlignment="1">
      <alignment horizontal="right" vertical="center"/>
    </xf>
    <xf numFmtId="181" fontId="18" fillId="0" borderId="10" xfId="0" applyNumberFormat="1" applyFont="1" applyFill="1" applyBorder="1" applyAlignment="1">
      <alignment vertical="center"/>
    </xf>
    <xf numFmtId="181" fontId="18" fillId="0" borderId="0" xfId="0" applyNumberFormat="1" applyFont="1" applyFill="1" applyBorder="1" applyAlignment="1">
      <alignment horizontal="center" vertical="center"/>
    </xf>
    <xf numFmtId="165" fontId="18" fillId="0" borderId="10" xfId="0" applyNumberFormat="1" applyFont="1" applyFill="1" applyBorder="1" applyAlignment="1">
      <alignment horizontal="center" vertical="center"/>
    </xf>
    <xf numFmtId="181" fontId="18" fillId="0" borderId="13" xfId="0" applyNumberFormat="1" applyFont="1" applyFill="1" applyBorder="1" applyAlignment="1">
      <alignment horizontal="right" vertical="center"/>
    </xf>
    <xf numFmtId="181" fontId="18" fillId="0" borderId="12" xfId="0" applyNumberFormat="1" applyFont="1" applyFill="1" applyBorder="1" applyAlignment="1">
      <alignment vertical="center"/>
    </xf>
    <xf numFmtId="181" fontId="18" fillId="0" borderId="13" xfId="0" applyNumberFormat="1" applyFont="1" applyFill="1" applyBorder="1" applyAlignment="1">
      <alignment horizontal="center" vertical="center"/>
    </xf>
    <xf numFmtId="165" fontId="18" fillId="0" borderId="12" xfId="0" applyNumberFormat="1" applyFont="1" applyFill="1" applyBorder="1" applyAlignment="1">
      <alignment horizontal="center" vertical="center"/>
    </xf>
    <xf numFmtId="0" fontId="18" fillId="0" borderId="15" xfId="0" applyFont="1" applyBorder="1">
      <alignment vertical="center"/>
    </xf>
    <xf numFmtId="180" fontId="18" fillId="0" borderId="0" xfId="0" applyNumberFormat="1" applyFont="1" applyFill="1" applyBorder="1" applyAlignment="1">
      <alignment horizontal="center" vertical="center"/>
    </xf>
    <xf numFmtId="180" fontId="18" fillId="0" borderId="13" xfId="0" applyNumberFormat="1" applyFont="1" applyFill="1" applyBorder="1" applyAlignment="1">
      <alignment horizontal="center" vertical="center"/>
    </xf>
    <xf numFmtId="0" fontId="24" fillId="0" borderId="35" xfId="0" applyFont="1" applyFill="1" applyBorder="1" applyAlignment="1">
      <alignment horizontal="left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181" fontId="18" fillId="0" borderId="6" xfId="0" applyNumberFormat="1" applyFont="1" applyFill="1" applyBorder="1" applyAlignment="1">
      <alignment horizontal="right" vertical="center"/>
    </xf>
    <xf numFmtId="181" fontId="18" fillId="0" borderId="7" xfId="0" applyNumberFormat="1" applyFont="1" applyFill="1" applyBorder="1" applyAlignment="1">
      <alignment vertical="center"/>
    </xf>
    <xf numFmtId="165" fontId="18" fillId="0" borderId="6" xfId="0" applyNumberFormat="1" applyFont="1" applyFill="1" applyBorder="1" applyAlignment="1">
      <alignment horizontal="center" vertical="center"/>
    </xf>
    <xf numFmtId="181" fontId="18" fillId="0" borderId="6" xfId="0" applyNumberFormat="1" applyFont="1" applyFill="1" applyBorder="1" applyAlignment="1">
      <alignment horizontal="center" vertical="center"/>
    </xf>
    <xf numFmtId="165" fontId="18" fillId="0" borderId="7" xfId="0" applyNumberFormat="1" applyFont="1" applyFill="1" applyBorder="1" applyAlignment="1">
      <alignment horizontal="center" vertical="center"/>
    </xf>
    <xf numFmtId="181" fontId="18" fillId="0" borderId="6" xfId="0" applyNumberFormat="1" applyFont="1" applyFill="1" applyBorder="1">
      <alignment vertical="center"/>
    </xf>
    <xf numFmtId="165" fontId="18" fillId="0" borderId="15" xfId="0" applyNumberFormat="1" applyFont="1" applyFill="1" applyBorder="1" applyAlignment="1">
      <alignment horizontal="center" vertical="center"/>
    </xf>
    <xf numFmtId="181" fontId="18" fillId="0" borderId="13" xfId="0" applyNumberFormat="1" applyFont="1" applyFill="1" applyBorder="1">
      <alignment vertical="center"/>
    </xf>
    <xf numFmtId="179" fontId="18" fillId="0" borderId="0" xfId="0" applyNumberFormat="1" applyFont="1" applyFill="1" applyBorder="1" applyAlignment="1">
      <alignment horizontal="right" vertical="center"/>
    </xf>
    <xf numFmtId="179" fontId="18" fillId="0" borderId="10" xfId="0" applyNumberFormat="1" applyFont="1" applyFill="1" applyBorder="1" applyAlignment="1">
      <alignment horizontal="right" vertical="center"/>
    </xf>
    <xf numFmtId="179" fontId="18" fillId="0" borderId="13" xfId="0" applyNumberFormat="1" applyFont="1" applyFill="1" applyBorder="1" applyAlignment="1">
      <alignment horizontal="right" vertical="center"/>
    </xf>
    <xf numFmtId="179" fontId="18" fillId="0" borderId="12" xfId="0" applyNumberFormat="1" applyFont="1" applyFill="1" applyBorder="1" applyAlignment="1">
      <alignment horizontal="right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165" fontId="18" fillId="0" borderId="16" xfId="0" applyNumberFormat="1" applyFont="1" applyFill="1" applyBorder="1" applyAlignment="1">
      <alignment horizontal="center" vertical="center"/>
    </xf>
    <xf numFmtId="179" fontId="18" fillId="0" borderId="0" xfId="0" applyNumberFormat="1" applyFont="1" applyFill="1" applyBorder="1" applyAlignment="1">
      <alignment vertical="center"/>
    </xf>
    <xf numFmtId="165" fontId="18" fillId="0" borderId="14" xfId="0" applyNumberFormat="1" applyFont="1" applyFill="1" applyBorder="1" applyAlignment="1">
      <alignment horizontal="center" vertical="center"/>
    </xf>
    <xf numFmtId="179" fontId="18" fillId="0" borderId="6" xfId="0" applyNumberFormat="1" applyFont="1" applyFill="1" applyBorder="1" applyAlignment="1">
      <alignment horizontal="right" vertical="center"/>
    </xf>
    <xf numFmtId="179" fontId="18" fillId="0" borderId="7" xfId="0" applyNumberFormat="1" applyFont="1" applyFill="1" applyBorder="1" applyAlignment="1">
      <alignment horizontal="right" vertical="center"/>
    </xf>
    <xf numFmtId="180" fontId="18" fillId="0" borderId="6" xfId="0" applyNumberFormat="1" applyFont="1" applyFill="1" applyBorder="1" applyAlignment="1">
      <alignment horizontal="center" vertical="center"/>
    </xf>
    <xf numFmtId="179" fontId="18" fillId="0" borderId="6" xfId="0" applyNumberFormat="1" applyFont="1" applyFill="1" applyBorder="1" applyAlignment="1">
      <alignment horizontal="center" vertical="center"/>
    </xf>
    <xf numFmtId="0" fontId="24" fillId="0" borderId="36" xfId="0" applyFont="1" applyFill="1" applyBorder="1" applyAlignment="1">
      <alignment horizontal="left" vertical="center"/>
    </xf>
    <xf numFmtId="0" fontId="24" fillId="0" borderId="37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center" vertical="center"/>
    </xf>
    <xf numFmtId="0" fontId="18" fillId="0" borderId="37" xfId="0" applyFont="1" applyFill="1" applyBorder="1" applyAlignment="1">
      <alignment horizontal="center" vertical="center"/>
    </xf>
    <xf numFmtId="0" fontId="18" fillId="0" borderId="40" xfId="0" applyFont="1" applyFill="1" applyBorder="1" applyAlignment="1">
      <alignment vertical="center"/>
    </xf>
    <xf numFmtId="179" fontId="18" fillId="0" borderId="37" xfId="0" applyNumberFormat="1" applyFont="1" applyFill="1" applyBorder="1" applyAlignment="1">
      <alignment horizontal="right" vertical="center"/>
    </xf>
    <xf numFmtId="179" fontId="18" fillId="0" borderId="40" xfId="0" applyNumberFormat="1" applyFont="1" applyFill="1" applyBorder="1" applyAlignment="1">
      <alignment horizontal="right" vertical="center"/>
    </xf>
    <xf numFmtId="165" fontId="18" fillId="0" borderId="37" xfId="0" applyNumberFormat="1" applyFont="1" applyFill="1" applyBorder="1" applyAlignment="1">
      <alignment horizontal="center" vertical="center"/>
    </xf>
    <xf numFmtId="180" fontId="18" fillId="0" borderId="37" xfId="0" applyNumberFormat="1" applyFont="1" applyFill="1" applyBorder="1" applyAlignment="1">
      <alignment horizontal="center" vertical="center"/>
    </xf>
    <xf numFmtId="166" fontId="18" fillId="0" borderId="38" xfId="0" applyNumberFormat="1" applyFont="1" applyFill="1" applyBorder="1" applyAlignment="1">
      <alignment horizontal="center" vertical="center"/>
    </xf>
    <xf numFmtId="0" fontId="18" fillId="0" borderId="40" xfId="0" applyFont="1" applyFill="1" applyBorder="1" applyAlignment="1">
      <alignment horizontal="center" vertical="center"/>
    </xf>
    <xf numFmtId="179" fontId="18" fillId="0" borderId="37" xfId="0" applyNumberFormat="1" applyFont="1" applyFill="1" applyBorder="1" applyAlignment="1">
      <alignment horizontal="center" vertical="center"/>
    </xf>
    <xf numFmtId="166" fontId="18" fillId="0" borderId="39" xfId="0" applyNumberFormat="1" applyFont="1" applyFill="1" applyBorder="1" applyAlignment="1">
      <alignment horizontal="center" vertical="center"/>
    </xf>
    <xf numFmtId="170" fontId="18" fillId="0" borderId="39" xfId="0" applyNumberFormat="1" applyFont="1" applyFill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31" xfId="0" applyFont="1" applyBorder="1" applyAlignment="1">
      <alignment horizontal="left" vertical="center"/>
    </xf>
    <xf numFmtId="164" fontId="16" fillId="0" borderId="6" xfId="0" applyNumberFormat="1" applyFont="1" applyBorder="1" applyAlignment="1">
      <alignment horizontal="center" vertical="center"/>
    </xf>
    <xf numFmtId="0" fontId="25" fillId="0" borderId="35" xfId="0" applyFont="1" applyBorder="1" applyAlignment="1">
      <alignment horizontal="left" vertical="center"/>
    </xf>
    <xf numFmtId="0" fontId="25" fillId="0" borderId="6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36" xfId="0" applyFont="1" applyBorder="1" applyAlignment="1">
      <alignment horizontal="left" vertical="center"/>
    </xf>
    <xf numFmtId="0" fontId="25" fillId="0" borderId="37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164" fontId="16" fillId="0" borderId="8" xfId="0" applyNumberFormat="1" applyFont="1" applyFill="1" applyBorder="1" applyAlignment="1">
      <alignment horizontal="center" vertical="center"/>
    </xf>
    <xf numFmtId="166" fontId="16" fillId="0" borderId="4" xfId="0" applyNumberFormat="1" applyFont="1" applyFill="1" applyBorder="1" applyAlignment="1">
      <alignment horizontal="center" vertical="center"/>
    </xf>
    <xf numFmtId="171" fontId="15" fillId="0" borderId="0" xfId="0" applyNumberFormat="1" applyFont="1" applyFill="1" applyBorder="1" applyAlignment="1">
      <alignment horizontal="center" vertical="center"/>
    </xf>
    <xf numFmtId="167" fontId="18" fillId="0" borderId="0" xfId="0" applyNumberFormat="1" applyFont="1" applyFill="1" applyBorder="1" applyAlignment="1">
      <alignment horizontal="center" vertical="center"/>
    </xf>
    <xf numFmtId="170" fontId="18" fillId="0" borderId="0" xfId="0" applyNumberFormat="1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171" fontId="15" fillId="0" borderId="18" xfId="0" applyNumberFormat="1" applyFont="1" applyFill="1" applyBorder="1" applyAlignment="1">
      <alignment horizontal="center" vertical="center"/>
    </xf>
    <xf numFmtId="167" fontId="18" fillId="0" borderId="18" xfId="0" applyNumberFormat="1" applyFont="1" applyFill="1" applyBorder="1" applyAlignment="1">
      <alignment horizontal="center" vertical="center"/>
    </xf>
    <xf numFmtId="170" fontId="18" fillId="0" borderId="18" xfId="0" applyNumberFormat="1" applyFont="1" applyFill="1" applyBorder="1" applyAlignment="1">
      <alignment horizontal="center" vertical="center"/>
    </xf>
    <xf numFmtId="168" fontId="15" fillId="0" borderId="19" xfId="0" applyNumberFormat="1" applyFont="1" applyFill="1" applyBorder="1" applyAlignment="1">
      <alignment horizontal="center" vertical="center"/>
    </xf>
    <xf numFmtId="0" fontId="16" fillId="0" borderId="43" xfId="0" applyFont="1" applyFill="1" applyBorder="1" applyAlignment="1">
      <alignment horizontal="center" vertical="center"/>
    </xf>
    <xf numFmtId="167" fontId="16" fillId="0" borderId="0" xfId="0" applyNumberFormat="1" applyFont="1" applyFill="1" applyBorder="1" applyAlignment="1">
      <alignment horizontal="center" vertical="center"/>
    </xf>
    <xf numFmtId="168" fontId="18" fillId="0" borderId="44" xfId="0" applyNumberFormat="1" applyFont="1" applyFill="1" applyBorder="1" applyAlignment="1">
      <alignment horizontal="center" vertical="center"/>
    </xf>
    <xf numFmtId="168" fontId="16" fillId="0" borderId="44" xfId="0" applyNumberFormat="1" applyFont="1" applyFill="1" applyBorder="1" applyAlignment="1">
      <alignment horizontal="center" vertical="center"/>
    </xf>
    <xf numFmtId="168" fontId="15" fillId="0" borderId="44" xfId="0" applyNumberFormat="1" applyFont="1" applyFill="1" applyBorder="1" applyAlignment="1">
      <alignment horizontal="center" vertical="center"/>
    </xf>
    <xf numFmtId="167" fontId="20" fillId="0" borderId="0" xfId="0" applyNumberFormat="1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168" fontId="15" fillId="0" borderId="22" xfId="0" applyNumberFormat="1" applyFont="1" applyFill="1" applyBorder="1" applyAlignment="1">
      <alignment horizontal="center" vertical="center"/>
    </xf>
    <xf numFmtId="164" fontId="19" fillId="0" borderId="15" xfId="0" applyNumberFormat="1" applyFont="1" applyBorder="1" applyAlignment="1">
      <alignment horizontal="center" vertical="center"/>
    </xf>
    <xf numFmtId="164" fontId="15" fillId="0" borderId="23" xfId="0" applyNumberFormat="1" applyFont="1" applyFill="1" applyBorder="1" applyAlignment="1">
      <alignment horizontal="center" vertical="center"/>
    </xf>
    <xf numFmtId="164" fontId="15" fillId="0" borderId="42" xfId="0" applyNumberFormat="1" applyFont="1" applyFill="1" applyBorder="1" applyAlignment="1">
      <alignment horizontal="center" vertical="center"/>
    </xf>
    <xf numFmtId="164" fontId="15" fillId="0" borderId="24" xfId="0" applyNumberFormat="1" applyFont="1" applyFill="1" applyBorder="1" applyAlignment="1">
      <alignment horizontal="center" vertical="center"/>
    </xf>
    <xf numFmtId="169" fontId="19" fillId="0" borderId="15" xfId="0" applyNumberFormat="1" applyFont="1" applyBorder="1" applyAlignment="1">
      <alignment horizontal="center" vertical="center"/>
    </xf>
    <xf numFmtId="169" fontId="15" fillId="0" borderId="23" xfId="0" applyNumberFormat="1" applyFont="1" applyFill="1" applyBorder="1" applyAlignment="1">
      <alignment horizontal="center" vertical="center"/>
    </xf>
    <xf numFmtId="169" fontId="15" fillId="0" borderId="42" xfId="0" applyNumberFormat="1" applyFont="1" applyFill="1" applyBorder="1" applyAlignment="1">
      <alignment horizontal="center" vertical="center"/>
    </xf>
    <xf numFmtId="169" fontId="15" fillId="0" borderId="24" xfId="0" applyNumberFormat="1" applyFont="1" applyFill="1" applyBorder="1" applyAlignment="1">
      <alignment horizontal="center" vertical="center"/>
    </xf>
  </cellXfs>
  <cellStyles count="18">
    <cellStyle name="Accent" xfId="7"/>
    <cellStyle name="Accent 1" xfId="8"/>
    <cellStyle name="Accent 2" xfId="9"/>
    <cellStyle name="Accent 3" xfId="10"/>
    <cellStyle name="Bad" xfId="4" builtinId="27" customBuiltin="1"/>
    <cellStyle name="Error" xfId="11"/>
    <cellStyle name="Footnote" xfId="12"/>
    <cellStyle name="Good" xfId="3" builtinId="26" customBuiltin="1"/>
    <cellStyle name="Heading" xfId="13"/>
    <cellStyle name="Heading 1" xfId="1" builtinId="16" customBuiltin="1"/>
    <cellStyle name="Heading 2" xfId="2" builtinId="17" customBuiltin="1"/>
    <cellStyle name="Hyperlink" xfId="14"/>
    <cellStyle name="Neutral" xfId="5" builtinId="28" customBuiltin="1"/>
    <cellStyle name="Normal" xfId="0" builtinId="0" customBuiltin="1"/>
    <cellStyle name="Note" xfId="6" builtinId="10" customBuiltin="1"/>
    <cellStyle name="Status" xfId="15"/>
    <cellStyle name="Text" xfId="16"/>
    <cellStyle name="Warning" xfId="17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FFFFFF"/>
                </a:solidFill>
                <a:latin typeface="Calibri"/>
              </a:defRPr>
            </a:pPr>
            <a:r>
              <a:rPr lang="en-US" sz="1800" b="1" i="0" u="none" strike="noStrike" kern="1200" cap="none" spc="0" baseline="0">
                <a:solidFill>
                  <a:srgbClr val="FFFFFF"/>
                </a:solidFill>
                <a:uFillTx/>
                <a:latin typeface="Calibri"/>
              </a:rPr>
              <a:t>Structure Based Trading Equity Curve</a:t>
            </a:r>
          </a:p>
        </c:rich>
      </c:tx>
      <c:layout>
        <c:manualLayout>
          <c:xMode val="edge"/>
          <c:yMode val="edge"/>
          <c:x val="0.33867230948699167"/>
          <c:y val="2.3712075582215962E-2"/>
        </c:manualLayout>
      </c:layout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47521" cap="rnd">
              <a:solidFill>
                <a:srgbClr val="98B855"/>
              </a:solidFill>
              <a:prstDash val="solid"/>
              <a:round/>
            </a:ln>
          </c:spPr>
          <c:marker>
            <c:symbol val="none"/>
          </c:marker>
          <c:cat>
            <c:numRef>
              <c:f>Equity!$A$4:$A$151</c:f>
              <c:numCache>
                <c:formatCode>General</c:formatCode>
                <c:ptCount val="14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cat>
          <c:val>
            <c:numRef>
              <c:f>Equity!$J$2:$J$2</c:f>
              <c:numCache>
                <c:formatCode>"$"#,##0;"-$"#,##0</c:formatCode>
                <c:ptCount val="1"/>
                <c:pt idx="0">
                  <c:v>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CD-4374-9ADE-C2335EDCD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3218399"/>
        <c:axId val="1543217983"/>
      </c:lineChart>
      <c:valAx>
        <c:axId val="1543217983"/>
        <c:scaling>
          <c:orientation val="minMax"/>
          <c:min val="2000"/>
        </c:scaling>
        <c:delete val="0"/>
        <c:axPos val="l"/>
        <c:majorGridlines>
          <c:spPr>
            <a:ln w="9363" cap="flat">
              <a:solidFill>
                <a:srgbClr val="878787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400" b="1" i="0" u="none" strike="noStrike" kern="1200" baseline="0">
                    <a:solidFill>
                      <a:srgbClr val="FFFFFF"/>
                    </a:solidFill>
                    <a:latin typeface="Calibri"/>
                  </a:defRPr>
                </a:pPr>
                <a:r>
                  <a:rPr lang="en-US" sz="1400" b="1" i="0" u="none" strike="noStrike" kern="1200" cap="none" spc="0" baseline="0">
                    <a:solidFill>
                      <a:srgbClr val="FFFFFF"/>
                    </a:solidFill>
                    <a:uFillTx/>
                    <a:latin typeface="Calibri"/>
                  </a:rPr>
                  <a:t>Equity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&quot;$&quot;#,##0;&quot;-$&quot;#,##0" sourceLinked="0"/>
        <c:majorTickMark val="none"/>
        <c:minorTickMark val="none"/>
        <c:tickLblPos val="nextTo"/>
        <c:spPr>
          <a:noFill/>
          <a:ln w="9363" cap="flat">
            <a:solidFill>
              <a:srgbClr val="878787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FFFFFF"/>
                </a:solidFill>
                <a:latin typeface="Calibri"/>
              </a:defRPr>
            </a:pPr>
            <a:endParaRPr lang="en-US"/>
          </a:p>
        </c:txPr>
        <c:crossAx val="1543218399"/>
        <c:crossesAt val="0"/>
        <c:crossBetween val="between"/>
      </c:valAx>
      <c:catAx>
        <c:axId val="1543218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363" cap="flat">
            <a:solidFill>
              <a:srgbClr val="878787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FFFFFF"/>
                </a:solidFill>
                <a:latin typeface="Calibri"/>
              </a:defRPr>
            </a:pPr>
            <a:endParaRPr lang="en-US"/>
          </a:p>
        </c:txPr>
        <c:crossAx val="1543217983"/>
        <c:crossesAt val="0"/>
        <c:auto val="1"/>
        <c:lblAlgn val="ctr"/>
        <c:lblOffset val="100"/>
        <c:noMultiLvlLbl val="0"/>
      </c:catAx>
      <c:spPr>
        <a:solidFill>
          <a:srgbClr val="454545"/>
        </a:solidFill>
        <a:ln>
          <a:noFill/>
        </a:ln>
      </c:spPr>
    </c:plotArea>
    <c:plotVisOnly val="1"/>
    <c:dispBlanksAs val="gap"/>
    <c:showDLblsOverMax val="0"/>
  </c:chart>
  <c:spPr>
    <a:solidFill>
      <a:srgbClr val="000000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n-US" sz="1000" b="0" i="0" u="none" strike="noStrike" kern="1200" baseline="0">
          <a:solidFill>
            <a:srgbClr val="000000"/>
          </a:solidFill>
          <a:latin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FFFFFF"/>
                </a:solidFill>
                <a:latin typeface="Calibri"/>
              </a:defRPr>
            </a:pPr>
            <a:r>
              <a:rPr lang="en-US" sz="1800" b="1" i="0" u="none" strike="noStrike" kern="1200" cap="none" spc="0" baseline="0">
                <a:solidFill>
                  <a:srgbClr val="FFFFFF"/>
                </a:solidFill>
                <a:uFillTx/>
                <a:latin typeface="Calibri"/>
              </a:rPr>
              <a:t>Structure Based Trading Equity Curve</a:t>
            </a:r>
          </a:p>
        </c:rich>
      </c:tx>
      <c:layout>
        <c:manualLayout>
          <c:xMode val="edge"/>
          <c:yMode val="edge"/>
          <c:x val="0.33867555062837418"/>
          <c:y val="2.3725612016963948E-2"/>
        </c:manualLayout>
      </c:layout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47521" cap="rnd">
              <a:solidFill>
                <a:srgbClr val="98B855"/>
              </a:solidFill>
              <a:prstDash val="solid"/>
              <a:round/>
            </a:ln>
          </c:spPr>
          <c:marker>
            <c:symbol val="none"/>
          </c:marker>
          <c:cat>
            <c:numRef>
              <c:f>Equity!$A$5:$A$151</c:f>
              <c:numCache>
                <c:formatCode>General</c:formatCode>
                <c:ptCount val="14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Equity!$J$5:$J$151</c:f>
              <c:numCache>
                <c:formatCode>"$"#,##0;"-$"#,##0</c:formatCode>
                <c:ptCount val="147"/>
                <c:pt idx="0">
                  <c:v>10057.35</c:v>
                </c:pt>
                <c:pt idx="1">
                  <c:v>10080.390000000001</c:v>
                </c:pt>
                <c:pt idx="2">
                  <c:v>10105.630000000001</c:v>
                </c:pt>
                <c:pt idx="3">
                  <c:v>9993.2300000000014</c:v>
                </c:pt>
                <c:pt idx="4">
                  <c:v>10126.010000000002</c:v>
                </c:pt>
                <c:pt idx="5">
                  <c:v>10144.590000000002</c:v>
                </c:pt>
                <c:pt idx="6">
                  <c:v>10196.670000000002</c:v>
                </c:pt>
                <c:pt idx="7">
                  <c:v>10138.070000000002</c:v>
                </c:pt>
                <c:pt idx="8">
                  <c:v>10096.210000000001</c:v>
                </c:pt>
                <c:pt idx="9">
                  <c:v>10059.790000000001</c:v>
                </c:pt>
                <c:pt idx="10">
                  <c:v>10173.35</c:v>
                </c:pt>
                <c:pt idx="11">
                  <c:v>10298.07</c:v>
                </c:pt>
                <c:pt idx="12">
                  <c:v>10262.94</c:v>
                </c:pt>
                <c:pt idx="13">
                  <c:v>10323.200000000001</c:v>
                </c:pt>
                <c:pt idx="14">
                  <c:v>10425.820000000002</c:v>
                </c:pt>
                <c:pt idx="15">
                  <c:v>10516.62</c:v>
                </c:pt>
                <c:pt idx="16">
                  <c:v>10456.76</c:v>
                </c:pt>
                <c:pt idx="17">
                  <c:v>10661.06</c:v>
                </c:pt>
                <c:pt idx="18">
                  <c:v>10734.359999999999</c:v>
                </c:pt>
                <c:pt idx="19">
                  <c:v>10783.439999999999</c:v>
                </c:pt>
                <c:pt idx="20">
                  <c:v>11942.649999999998</c:v>
                </c:pt>
                <c:pt idx="21">
                  <c:v>11879.929999999998</c:v>
                </c:pt>
                <c:pt idx="22">
                  <c:v>12070.47</c:v>
                </c:pt>
                <c:pt idx="23">
                  <c:v>11963.55</c:v>
                </c:pt>
                <c:pt idx="24">
                  <c:v>11989.98</c:v>
                </c:pt>
                <c:pt idx="28" formatCode="0.0%">
                  <c:v>0.19899800000000004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0-409E-ACDD-5A9BDB189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0446127"/>
        <c:axId val="1534848335"/>
      </c:lineChart>
      <c:valAx>
        <c:axId val="1534848335"/>
        <c:scaling>
          <c:orientation val="minMax"/>
          <c:min val="5000"/>
        </c:scaling>
        <c:delete val="0"/>
        <c:axPos val="l"/>
        <c:majorGridlines>
          <c:spPr>
            <a:ln w="9363" cap="flat">
              <a:solidFill>
                <a:srgbClr val="878787"/>
              </a:solidFill>
              <a:prstDash val="solid"/>
              <a:round/>
            </a:ln>
          </c:spPr>
        </c:majorGridlines>
        <c:minorGridlines>
          <c:spPr>
            <a:ln w="9363" cap="flat">
              <a:solidFill>
                <a:srgbClr val="5A5A5A"/>
              </a:solidFill>
              <a:prstDash val="solid"/>
              <a:round/>
            </a:ln>
          </c:spPr>
        </c:min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400" b="1" i="0" u="none" strike="noStrike" kern="1200" baseline="0">
                    <a:solidFill>
                      <a:srgbClr val="FFFFFF"/>
                    </a:solidFill>
                    <a:latin typeface="Calibri"/>
                  </a:defRPr>
                </a:pPr>
                <a:r>
                  <a:rPr lang="en-US" sz="1400" b="1" i="0" u="none" strike="noStrike" kern="1200" cap="none" spc="0" baseline="0">
                    <a:solidFill>
                      <a:srgbClr val="FFFFFF"/>
                    </a:solidFill>
                    <a:uFillTx/>
                    <a:latin typeface="Calibri"/>
                  </a:rPr>
                  <a:t>Equity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&quot;$&quot;#,##0;&quot;-$&quot;#,##0" sourceLinked="0"/>
        <c:majorTickMark val="none"/>
        <c:minorTickMark val="none"/>
        <c:tickLblPos val="nextTo"/>
        <c:spPr>
          <a:noFill/>
          <a:ln w="9363" cap="flat">
            <a:solidFill>
              <a:srgbClr val="878787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FFFFFF"/>
                </a:solidFill>
                <a:latin typeface="Calibri"/>
              </a:defRPr>
            </a:pPr>
            <a:endParaRPr lang="en-US"/>
          </a:p>
        </c:txPr>
        <c:crossAx val="1480446127"/>
        <c:crossesAt val="0"/>
        <c:crossBetween val="between"/>
        <c:majorUnit val="1000"/>
        <c:minorUnit val="200"/>
      </c:valAx>
      <c:catAx>
        <c:axId val="1480446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363" cap="flat">
            <a:solidFill>
              <a:srgbClr val="878787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FFFFFF"/>
                </a:solidFill>
                <a:latin typeface="Calibri"/>
              </a:defRPr>
            </a:pPr>
            <a:endParaRPr lang="en-US"/>
          </a:p>
        </c:txPr>
        <c:crossAx val="1534848335"/>
        <c:crossesAt val="0"/>
        <c:auto val="1"/>
        <c:lblAlgn val="ctr"/>
        <c:lblOffset val="100"/>
        <c:noMultiLvlLbl val="0"/>
      </c:catAx>
      <c:spPr>
        <a:solidFill>
          <a:srgbClr val="454545"/>
        </a:solidFill>
        <a:ln>
          <a:noFill/>
        </a:ln>
      </c:spPr>
    </c:plotArea>
    <c:plotVisOnly val="1"/>
    <c:dispBlanksAs val="gap"/>
    <c:showDLblsOverMax val="0"/>
  </c:chart>
  <c:spPr>
    <a:solidFill>
      <a:srgbClr val="000000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n-US" sz="1000" b="0" i="0" u="none" strike="noStrike" kern="1200" baseline="0">
          <a:solidFill>
            <a:srgbClr val="000000"/>
          </a:solidFill>
          <a:latin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FFFFFF"/>
                </a:solidFill>
                <a:latin typeface="Calibri"/>
              </a:defRPr>
            </a:pPr>
            <a:r>
              <a:rPr lang="en-US" sz="1800" b="1" i="0" u="none" strike="noStrike" kern="1200" cap="none" spc="0" baseline="0">
                <a:solidFill>
                  <a:srgbClr val="FFFFFF"/>
                </a:solidFill>
                <a:uFillTx/>
                <a:latin typeface="Calibri"/>
              </a:rPr>
              <a:t>Structure Based Trading Equity Curve</a:t>
            </a:r>
          </a:p>
        </c:rich>
      </c:tx>
      <c:layout>
        <c:manualLayout>
          <c:xMode val="edge"/>
          <c:yMode val="edge"/>
          <c:x val="0.33867230948699167"/>
          <c:y val="2.3712097136094977E-2"/>
        </c:manualLayout>
      </c:layout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47521" cap="rnd">
              <a:solidFill>
                <a:srgbClr val="98B855"/>
              </a:solidFill>
              <a:prstDash val="solid"/>
              <a:round/>
            </a:ln>
          </c:spPr>
          <c:marker>
            <c:symbol val="none"/>
          </c:marker>
          <c:cat>
            <c:numRef>
              <c:f>Equity!$A$4:$A$21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Equity!$J$2:$J$2</c:f>
              <c:numCache>
                <c:formatCode>"$"#,##0;"-$"#,##0</c:formatCode>
                <c:ptCount val="1"/>
                <c:pt idx="0">
                  <c:v>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5-461E-A2B1-E4CA4C06F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3222559"/>
        <c:axId val="1543222143"/>
      </c:lineChart>
      <c:valAx>
        <c:axId val="1543222143"/>
        <c:scaling>
          <c:orientation val="minMax"/>
          <c:min val="2000"/>
        </c:scaling>
        <c:delete val="0"/>
        <c:axPos val="l"/>
        <c:majorGridlines>
          <c:spPr>
            <a:ln w="9363" cap="flat">
              <a:solidFill>
                <a:srgbClr val="878787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400" b="1" i="0" u="none" strike="noStrike" kern="1200" baseline="0">
                    <a:solidFill>
                      <a:srgbClr val="FFFFFF"/>
                    </a:solidFill>
                    <a:latin typeface="Calibri"/>
                  </a:defRPr>
                </a:pPr>
                <a:r>
                  <a:rPr lang="en-US" sz="1400" b="1" i="0" u="none" strike="noStrike" kern="1200" cap="none" spc="0" baseline="0">
                    <a:solidFill>
                      <a:srgbClr val="FFFFFF"/>
                    </a:solidFill>
                    <a:uFillTx/>
                    <a:latin typeface="Calibri"/>
                  </a:rPr>
                  <a:t>Equity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&quot;$&quot;#,##0;&quot;-$&quot;#,##0" sourceLinked="0"/>
        <c:majorTickMark val="none"/>
        <c:minorTickMark val="none"/>
        <c:tickLblPos val="nextTo"/>
        <c:spPr>
          <a:noFill/>
          <a:ln w="9363" cap="flat">
            <a:solidFill>
              <a:srgbClr val="878787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FFFFFF"/>
                </a:solidFill>
                <a:latin typeface="Calibri"/>
              </a:defRPr>
            </a:pPr>
            <a:endParaRPr lang="en-US"/>
          </a:p>
        </c:txPr>
        <c:crossAx val="1543222559"/>
        <c:crossesAt val="0"/>
        <c:crossBetween val="between"/>
      </c:valAx>
      <c:catAx>
        <c:axId val="1543222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363" cap="flat">
            <a:solidFill>
              <a:srgbClr val="878787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FFFFFF"/>
                </a:solidFill>
                <a:latin typeface="Calibri"/>
              </a:defRPr>
            </a:pPr>
            <a:endParaRPr lang="en-US"/>
          </a:p>
        </c:txPr>
        <c:crossAx val="1543222143"/>
        <c:crossesAt val="0"/>
        <c:auto val="1"/>
        <c:lblAlgn val="ctr"/>
        <c:lblOffset val="100"/>
        <c:noMultiLvlLbl val="0"/>
      </c:catAx>
      <c:spPr>
        <a:solidFill>
          <a:srgbClr val="454545"/>
        </a:solidFill>
        <a:ln>
          <a:noFill/>
        </a:ln>
      </c:spPr>
    </c:plotArea>
    <c:plotVisOnly val="1"/>
    <c:dispBlanksAs val="gap"/>
    <c:showDLblsOverMax val="0"/>
  </c:chart>
  <c:spPr>
    <a:solidFill>
      <a:srgbClr val="000000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n-US" sz="1000" b="0" i="0" u="none" strike="noStrike" kern="1200" baseline="0">
          <a:solidFill>
            <a:srgbClr val="000000"/>
          </a:solidFill>
          <a:latin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FFFFFF"/>
                </a:solidFill>
                <a:latin typeface="Calibri"/>
              </a:defRPr>
            </a:pPr>
            <a:r>
              <a:rPr lang="en-US" sz="1800" b="1" i="0" u="none" strike="noStrike" kern="1200" cap="none" spc="0" baseline="0">
                <a:solidFill>
                  <a:srgbClr val="FFFFFF"/>
                </a:solidFill>
                <a:uFillTx/>
                <a:latin typeface="Calibri"/>
              </a:rPr>
              <a:t>SRC Equity Curve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47521" cap="rnd">
              <a:solidFill>
                <a:srgbClr val="98B855"/>
              </a:solidFill>
              <a:prstDash val="solid"/>
              <a:round/>
            </a:ln>
          </c:spPr>
          <c:marker>
            <c:symbol val="none"/>
          </c:marker>
          <c:cat>
            <c:numRef>
              <c:f>Equity!$A$5:$A$32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Equity!$J$5:$J$32</c:f>
              <c:numCache>
                <c:formatCode>"$"#,##0;"-$"#,##0</c:formatCode>
                <c:ptCount val="28"/>
                <c:pt idx="0">
                  <c:v>10057.35</c:v>
                </c:pt>
                <c:pt idx="1">
                  <c:v>10080.390000000001</c:v>
                </c:pt>
                <c:pt idx="2">
                  <c:v>10105.630000000001</c:v>
                </c:pt>
                <c:pt idx="3">
                  <c:v>9993.2300000000014</c:v>
                </c:pt>
                <c:pt idx="4">
                  <c:v>10126.010000000002</c:v>
                </c:pt>
                <c:pt idx="5">
                  <c:v>10144.590000000002</c:v>
                </c:pt>
                <c:pt idx="6">
                  <c:v>10196.670000000002</c:v>
                </c:pt>
                <c:pt idx="7">
                  <c:v>10138.070000000002</c:v>
                </c:pt>
                <c:pt idx="8">
                  <c:v>10096.210000000001</c:v>
                </c:pt>
                <c:pt idx="9">
                  <c:v>10059.790000000001</c:v>
                </c:pt>
                <c:pt idx="10">
                  <c:v>10173.35</c:v>
                </c:pt>
                <c:pt idx="11">
                  <c:v>10298.07</c:v>
                </c:pt>
                <c:pt idx="12">
                  <c:v>10262.94</c:v>
                </c:pt>
                <c:pt idx="13">
                  <c:v>10323.200000000001</c:v>
                </c:pt>
                <c:pt idx="14">
                  <c:v>10425.820000000002</c:v>
                </c:pt>
                <c:pt idx="15">
                  <c:v>10516.62</c:v>
                </c:pt>
                <c:pt idx="16">
                  <c:v>10456.76</c:v>
                </c:pt>
                <c:pt idx="17">
                  <c:v>10661.06</c:v>
                </c:pt>
                <c:pt idx="18">
                  <c:v>10734.359999999999</c:v>
                </c:pt>
                <c:pt idx="19">
                  <c:v>10783.439999999999</c:v>
                </c:pt>
                <c:pt idx="20">
                  <c:v>11942.649999999998</c:v>
                </c:pt>
                <c:pt idx="21">
                  <c:v>11879.929999999998</c:v>
                </c:pt>
                <c:pt idx="22">
                  <c:v>12070.47</c:v>
                </c:pt>
                <c:pt idx="23">
                  <c:v>11963.55</c:v>
                </c:pt>
                <c:pt idx="24">
                  <c:v>11989.98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8C-400E-84B6-1F9F24B1A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4847503"/>
        <c:axId val="1534849583"/>
      </c:lineChart>
      <c:valAx>
        <c:axId val="1534849583"/>
        <c:scaling>
          <c:orientation val="minMax"/>
          <c:min val="9800"/>
        </c:scaling>
        <c:delete val="0"/>
        <c:axPos val="l"/>
        <c:majorGridlines>
          <c:spPr>
            <a:ln w="9363" cap="flat">
              <a:solidFill>
                <a:srgbClr val="878787"/>
              </a:solidFill>
              <a:prstDash val="solid"/>
              <a:round/>
            </a:ln>
          </c:spPr>
        </c:majorGridlines>
        <c:numFmt formatCode="&quot;$&quot;#,##0;&quot;-$&quot;#,##0" sourceLinked="0"/>
        <c:majorTickMark val="none"/>
        <c:minorTickMark val="none"/>
        <c:tickLblPos val="nextTo"/>
        <c:spPr>
          <a:noFill/>
          <a:ln w="9363" cap="flat">
            <a:solidFill>
              <a:srgbClr val="878787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FFFFFF"/>
                </a:solidFill>
                <a:latin typeface="Calibri"/>
              </a:defRPr>
            </a:pPr>
            <a:endParaRPr lang="en-US"/>
          </a:p>
        </c:txPr>
        <c:crossAx val="1534847503"/>
        <c:crossesAt val="0"/>
        <c:crossBetween val="between"/>
      </c:valAx>
      <c:catAx>
        <c:axId val="1534847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363" cap="flat">
            <a:solidFill>
              <a:srgbClr val="878787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FFFFFF"/>
                </a:solidFill>
                <a:latin typeface="Calibri"/>
              </a:defRPr>
            </a:pPr>
            <a:endParaRPr lang="en-US"/>
          </a:p>
        </c:txPr>
        <c:crossAx val="1534849583"/>
        <c:crossesAt val="0"/>
        <c:auto val="1"/>
        <c:lblAlgn val="ctr"/>
        <c:lblOffset val="100"/>
        <c:noMultiLvlLbl val="0"/>
      </c:catAx>
      <c:spPr>
        <a:solidFill>
          <a:srgbClr val="454545"/>
        </a:solidFill>
        <a:ln>
          <a:noFill/>
        </a:ln>
      </c:spPr>
    </c:plotArea>
    <c:plotVisOnly val="1"/>
    <c:dispBlanksAs val="gap"/>
    <c:showDLblsOverMax val="0"/>
  </c:chart>
  <c:spPr>
    <a:solidFill>
      <a:srgbClr val="000000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n-US" sz="1000" b="0" i="0" u="none" strike="noStrike" kern="1200" baseline="0">
          <a:solidFill>
            <a:srgbClr val="000000"/>
          </a:solidFill>
          <a:latin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38103</xdr:colOff>
      <xdr:row>249</xdr:row>
      <xdr:rowOff>87754</xdr:rowOff>
    </xdr:from>
    <xdr:ext cx="9215250" cy="5009010"/>
    <xdr:graphicFrame macro="">
      <xdr:nvGraphicFramePr>
        <xdr:cNvPr id="5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38103</xdr:colOff>
      <xdr:row>151</xdr:row>
      <xdr:rowOff>15489</xdr:rowOff>
    </xdr:from>
    <xdr:ext cx="8513320" cy="5628644"/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0</xdr:col>
      <xdr:colOff>38103</xdr:colOff>
      <xdr:row>248</xdr:row>
      <xdr:rowOff>91696</xdr:rowOff>
    </xdr:from>
    <xdr:ext cx="9215250" cy="5009384"/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1</xdr:col>
      <xdr:colOff>9400</xdr:colOff>
      <xdr:row>36</xdr:row>
      <xdr:rowOff>35689</xdr:rowOff>
    </xdr:from>
    <xdr:ext cx="9913367" cy="4971537"/>
    <xdr:graphicFrame macro="">
      <xdr:nvGraphicFramePr>
        <xdr:cNvPr id="2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4"/>
  <sheetViews>
    <sheetView zoomScale="110" zoomScaleNormal="110" workbookViewId="0">
      <selection activeCell="P29" sqref="P29"/>
    </sheetView>
  </sheetViews>
  <sheetFormatPr defaultRowHeight="15" x14ac:dyDescent="0.15"/>
  <cols>
    <col min="1" max="1" width="3.5" style="1" bestFit="1" customWidth="1"/>
    <col min="2" max="2" width="7.625" style="1" bestFit="1" customWidth="1"/>
    <col min="3" max="3" width="9.5" style="5" customWidth="1"/>
    <col min="4" max="4" width="8.25" style="4" customWidth="1"/>
    <col min="5" max="5" width="7.75" style="5" bestFit="1" customWidth="1"/>
    <col min="6" max="7" width="8.25" style="6" customWidth="1"/>
    <col min="8" max="8" width="9.5" style="7" bestFit="1" customWidth="1"/>
    <col min="9" max="9" width="7.25" style="6" customWidth="1"/>
    <col min="10" max="10" width="9.25" style="8" customWidth="1"/>
    <col min="11" max="11" width="8" style="9" customWidth="1"/>
    <col min="12" max="12" width="7.25" style="10" customWidth="1"/>
    <col min="13" max="13" width="4.375" style="11" customWidth="1"/>
    <col min="14" max="14" width="8" style="11" customWidth="1"/>
    <col min="15" max="15" width="7.25" style="11" bestFit="1" customWidth="1"/>
    <col min="16" max="16" width="4.875" style="11" bestFit="1" customWidth="1"/>
    <col min="17" max="17" width="5.875" style="11" bestFit="1" customWidth="1"/>
    <col min="18" max="18" width="6.5" style="11" bestFit="1" customWidth="1"/>
    <col min="19" max="19" width="6.375" style="11" bestFit="1" customWidth="1"/>
    <col min="20" max="20" width="8" style="11" customWidth="1"/>
    <col min="21" max="21" width="8.5" style="11" customWidth="1"/>
    <col min="22" max="22" width="8.25" style="5" customWidth="1"/>
    <col min="23" max="23" width="10.125" style="11" customWidth="1"/>
    <col min="24" max="24" width="6.25" style="11" bestFit="1" customWidth="1"/>
    <col min="25" max="25" width="7.125" style="11" bestFit="1" customWidth="1"/>
    <col min="26" max="26" width="6.25" style="11" bestFit="1" customWidth="1"/>
    <col min="27" max="27" width="7" style="11" bestFit="1" customWidth="1"/>
    <col min="28" max="28" width="6.5" style="12" bestFit="1" customWidth="1"/>
    <col min="29" max="1024" width="8" style="11" customWidth="1"/>
    <col min="1025" max="1025" width="9" style="11" customWidth="1"/>
    <col min="1026" max="16384" width="9" style="11"/>
  </cols>
  <sheetData>
    <row r="1" spans="1:28" ht="18.75" x14ac:dyDescent="0.15">
      <c r="B1" s="2">
        <v>2020</v>
      </c>
      <c r="C1" s="3" t="s">
        <v>0</v>
      </c>
    </row>
    <row r="2" spans="1:28" ht="18.75" x14ac:dyDescent="0.15">
      <c r="B2" s="13"/>
      <c r="I2" s="14" t="s">
        <v>1</v>
      </c>
      <c r="J2" s="15">
        <v>10000</v>
      </c>
    </row>
    <row r="3" spans="1:28" ht="18.75" x14ac:dyDescent="0.15">
      <c r="C3" s="16" t="s">
        <v>2</v>
      </c>
      <c r="D3" s="17">
        <f>SUM(D5:D32)/O17</f>
        <v>45.012000000000079</v>
      </c>
      <c r="F3" s="18" t="s">
        <v>3</v>
      </c>
      <c r="G3" s="19"/>
      <c r="L3" s="20"/>
      <c r="N3" s="21" t="s">
        <v>4</v>
      </c>
      <c r="T3" s="16" t="s">
        <v>5</v>
      </c>
      <c r="U3" s="15">
        <v>10000</v>
      </c>
      <c r="W3" s="22"/>
      <c r="X3" s="22"/>
      <c r="Y3" s="23"/>
      <c r="Z3" s="23"/>
    </row>
    <row r="4" spans="1:28" x14ac:dyDescent="0.15">
      <c r="A4" s="24">
        <v>0</v>
      </c>
      <c r="B4" s="25" t="s">
        <v>6</v>
      </c>
      <c r="C4" s="26" t="s">
        <v>7</v>
      </c>
      <c r="D4" s="27" t="s">
        <v>8</v>
      </c>
      <c r="E4" s="26" t="s">
        <v>9</v>
      </c>
      <c r="F4" s="28" t="s">
        <v>10</v>
      </c>
      <c r="G4" s="19" t="s">
        <v>11</v>
      </c>
      <c r="H4" s="29" t="s">
        <v>12</v>
      </c>
      <c r="I4" s="30" t="s">
        <v>13</v>
      </c>
      <c r="J4" s="31" t="s">
        <v>14</v>
      </c>
      <c r="K4" s="32" t="s">
        <v>15</v>
      </c>
      <c r="L4" s="33" t="s">
        <v>16</v>
      </c>
      <c r="N4" s="24">
        <v>2020</v>
      </c>
      <c r="O4" s="34" t="s">
        <v>17</v>
      </c>
      <c r="P4" s="35" t="s">
        <v>18</v>
      </c>
      <c r="Q4" s="35" t="s">
        <v>19</v>
      </c>
      <c r="R4" s="36" t="s">
        <v>20</v>
      </c>
      <c r="S4" s="37" t="s">
        <v>21</v>
      </c>
      <c r="T4" s="38" t="s">
        <v>22</v>
      </c>
      <c r="U4" s="38" t="s">
        <v>14</v>
      </c>
      <c r="V4" s="39" t="s">
        <v>23</v>
      </c>
      <c r="W4" s="40" t="s">
        <v>24</v>
      </c>
      <c r="X4" s="40" t="s">
        <v>25</v>
      </c>
      <c r="Y4" s="41" t="s">
        <v>26</v>
      </c>
      <c r="Z4" s="42" t="s">
        <v>27</v>
      </c>
      <c r="AA4" s="24" t="s">
        <v>28</v>
      </c>
      <c r="AB4" s="43" t="s">
        <v>29</v>
      </c>
    </row>
    <row r="5" spans="1:28" s="53" customFormat="1" ht="13.5" customHeight="1" x14ac:dyDescent="0.15">
      <c r="A5" s="44">
        <v>1</v>
      </c>
      <c r="B5" s="45" t="s">
        <v>30</v>
      </c>
      <c r="C5" s="46" t="s">
        <v>31</v>
      </c>
      <c r="D5" s="47">
        <f>Trades!J7</f>
        <v>68.000000000001393</v>
      </c>
      <c r="E5" s="46">
        <f>Trades!F7</f>
        <v>0.1</v>
      </c>
      <c r="F5" s="48">
        <f>Trades!P7</f>
        <v>67.999999999999176</v>
      </c>
      <c r="G5" s="48">
        <f>Trades!P8</f>
        <v>18.000000000000238</v>
      </c>
      <c r="H5" s="49">
        <f>Trades!R7+Trades!R8</f>
        <v>57.349999999999994</v>
      </c>
      <c r="I5" s="48">
        <f>F5+G5</f>
        <v>85.999999999999417</v>
      </c>
      <c r="J5" s="50">
        <f>J2+H5</f>
        <v>10057.35</v>
      </c>
      <c r="K5" s="51"/>
      <c r="L5" s="52"/>
      <c r="N5" s="1" t="s">
        <v>32</v>
      </c>
      <c r="O5" s="54">
        <v>12</v>
      </c>
      <c r="P5" s="54">
        <v>8</v>
      </c>
      <c r="Q5" s="54">
        <v>4</v>
      </c>
      <c r="R5" s="54">
        <v>0</v>
      </c>
      <c r="S5" s="55">
        <f t="shared" ref="S5:S11" si="0">P5/(O5-R5)</f>
        <v>0.66666666666666663</v>
      </c>
      <c r="T5" s="56">
        <f>SUM(H5:H16)</f>
        <v>298.07000000000005</v>
      </c>
      <c r="U5" s="56">
        <f>U3+T5</f>
        <v>10298.07</v>
      </c>
      <c r="V5" s="55">
        <f>T5/U3</f>
        <v>2.9807000000000004E-2</v>
      </c>
      <c r="W5" s="56">
        <f>H5+H6+H7+H9+H10+H11+H15+H16</f>
        <v>547.35</v>
      </c>
      <c r="X5" s="352">
        <f t="shared" ref="X5:X11" si="1">W5/P5</f>
        <v>68.418750000000003</v>
      </c>
      <c r="Y5" s="57">
        <f>-(H8+H12+H13+H14)</f>
        <v>249.28000000000003</v>
      </c>
      <c r="Z5" s="57">
        <f t="shared" ref="Z5:Z11" si="2">Y5/Q5</f>
        <v>62.320000000000007</v>
      </c>
      <c r="AA5" s="58">
        <f>1+(X5/Z5)*0.667-1</f>
        <v>0.73227384868421064</v>
      </c>
      <c r="AB5" s="59">
        <f t="shared" ref="AB5:AB11" si="3">W5/Y5</f>
        <v>2.1957236842105261</v>
      </c>
    </row>
    <row r="6" spans="1:28" s="53" customFormat="1" ht="13.5" customHeight="1" x14ac:dyDescent="0.15">
      <c r="A6" s="44">
        <f t="shared" ref="A6:A29" si="4">A5+1</f>
        <v>2</v>
      </c>
      <c r="B6" s="44" t="s">
        <v>33</v>
      </c>
      <c r="C6" s="60" t="s">
        <v>34</v>
      </c>
      <c r="D6" s="61">
        <f>Trades!J9</f>
        <v>31.200000000000117</v>
      </c>
      <c r="E6" s="60">
        <v>0.1</v>
      </c>
      <c r="F6" s="62">
        <f>Trades!P9</f>
        <v>12.299999999998423</v>
      </c>
      <c r="G6" s="62">
        <f>Trades!P10</f>
        <v>11.499999999999844</v>
      </c>
      <c r="H6" s="63">
        <f>Trades!R9+Trades!R10</f>
        <v>23.04</v>
      </c>
      <c r="I6" s="62">
        <f t="shared" ref="I6:I29" si="5">I5+F6+G6</f>
        <v>109.79999999999768</v>
      </c>
      <c r="J6" s="64">
        <f t="shared" ref="J6:J29" si="6">J5+H6</f>
        <v>10080.390000000001</v>
      </c>
      <c r="K6" s="65"/>
      <c r="L6" s="66"/>
      <c r="N6" s="1" t="s">
        <v>35</v>
      </c>
      <c r="O6" s="5">
        <v>13</v>
      </c>
      <c r="P6" s="5">
        <v>9</v>
      </c>
      <c r="Q6" s="5">
        <v>4</v>
      </c>
      <c r="R6" s="5">
        <v>0</v>
      </c>
      <c r="S6" s="67">
        <f t="shared" si="0"/>
        <v>0.69230769230769229</v>
      </c>
      <c r="T6" s="68">
        <f>SUM(H17:H29)</f>
        <v>1691.9099999999999</v>
      </c>
      <c r="U6" s="68">
        <f t="shared" ref="U6:U11" si="7">U5+T6</f>
        <v>11989.98</v>
      </c>
      <c r="V6" s="69">
        <f t="shared" ref="V6:V11" si="8">T6/U5</f>
        <v>0.16429389196228031</v>
      </c>
      <c r="W6" s="68">
        <f>H18+H19+H20+H22+H23+H24+H25+H27+H29</f>
        <v>1956.5400000000002</v>
      </c>
      <c r="X6" s="22">
        <f t="shared" si="1"/>
        <v>217.39333333333335</v>
      </c>
      <c r="Y6" s="9">
        <f>-(H17+H21+H26+H28)</f>
        <v>264.63</v>
      </c>
      <c r="Z6" s="9">
        <f t="shared" si="2"/>
        <v>66.157499999999999</v>
      </c>
      <c r="AA6" s="58">
        <f>1+(X6/Z6)*0.692-1</f>
        <v>2.2739097859905026</v>
      </c>
      <c r="AB6" s="59">
        <f t="shared" si="3"/>
        <v>7.3934928012696979</v>
      </c>
    </row>
    <row r="7" spans="1:28" s="53" customFormat="1" ht="13.5" customHeight="1" x14ac:dyDescent="0.15">
      <c r="A7" s="44">
        <f t="shared" si="4"/>
        <v>3</v>
      </c>
      <c r="B7" s="44" t="s">
        <v>36</v>
      </c>
      <c r="C7" s="60" t="s">
        <v>37</v>
      </c>
      <c r="D7" s="61">
        <f>Trades!J11</f>
        <v>36.099999999998914</v>
      </c>
      <c r="E7" s="60">
        <v>0.1</v>
      </c>
      <c r="F7" s="62">
        <f>Trades!P11</f>
        <v>15.199999999999658</v>
      </c>
      <c r="G7" s="62">
        <f>Trades!P12</f>
        <v>15.300000000000313</v>
      </c>
      <c r="H7" s="63">
        <f>Trades!R11+Trades!R12</f>
        <v>25.240000000000002</v>
      </c>
      <c r="I7" s="62">
        <f t="shared" si="5"/>
        <v>140.29999999999765</v>
      </c>
      <c r="J7" s="70">
        <f t="shared" si="6"/>
        <v>10105.630000000001</v>
      </c>
      <c r="K7" s="65"/>
      <c r="L7" s="66"/>
      <c r="N7" s="1" t="s">
        <v>38</v>
      </c>
      <c r="O7" s="5"/>
      <c r="P7" s="5"/>
      <c r="Q7" s="5"/>
      <c r="R7" s="5"/>
      <c r="S7" s="67"/>
      <c r="T7" s="68"/>
      <c r="U7" s="68"/>
      <c r="V7" s="69"/>
      <c r="W7" s="68"/>
      <c r="X7" s="22"/>
      <c r="Y7" s="9"/>
      <c r="Z7" s="9"/>
      <c r="AA7" s="58"/>
      <c r="AB7" s="59"/>
    </row>
    <row r="8" spans="1:28" s="53" customFormat="1" ht="13.5" customHeight="1" x14ac:dyDescent="0.15">
      <c r="A8" s="71">
        <f t="shared" si="4"/>
        <v>4</v>
      </c>
      <c r="B8" s="44" t="s">
        <v>39</v>
      </c>
      <c r="C8" s="60" t="s">
        <v>40</v>
      </c>
      <c r="D8" s="61">
        <f>Trades!J13</f>
        <v>81.500000000001023</v>
      </c>
      <c r="E8" s="60">
        <v>0.1</v>
      </c>
      <c r="F8" s="62">
        <f>Trades!P13</f>
        <v>-81.500000000001023</v>
      </c>
      <c r="G8" s="62">
        <f>Trades!P14</f>
        <v>-81.500000000001023</v>
      </c>
      <c r="H8" s="63">
        <f>Trades!R13+Trades!R14</f>
        <v>-112.4</v>
      </c>
      <c r="I8" s="62">
        <f t="shared" si="5"/>
        <v>-22.700000000004394</v>
      </c>
      <c r="J8" s="72">
        <f t="shared" si="6"/>
        <v>9993.2300000000014</v>
      </c>
      <c r="K8" s="65">
        <f>J7-J8</f>
        <v>112.39999999999964</v>
      </c>
      <c r="L8" s="66">
        <f>K8/J7</f>
        <v>1.1122512896276592E-2</v>
      </c>
      <c r="N8" s="1" t="s">
        <v>41</v>
      </c>
      <c r="O8" s="5"/>
      <c r="P8" s="5"/>
      <c r="Q8" s="5"/>
      <c r="R8" s="5"/>
      <c r="S8" s="67"/>
      <c r="T8" s="68"/>
      <c r="U8" s="68"/>
      <c r="V8" s="69"/>
      <c r="W8" s="68"/>
      <c r="X8" s="22"/>
      <c r="Y8" s="9"/>
      <c r="Z8" s="9"/>
      <c r="AA8" s="58"/>
      <c r="AB8" s="12"/>
    </row>
    <row r="9" spans="1:28" s="53" customFormat="1" x14ac:dyDescent="0.15">
      <c r="A9" s="44">
        <f t="shared" si="4"/>
        <v>5</v>
      </c>
      <c r="B9" s="44" t="s">
        <v>42</v>
      </c>
      <c r="C9" s="60" t="s">
        <v>43</v>
      </c>
      <c r="D9" s="61">
        <f>Trades!J16</f>
        <v>49.999999999998934</v>
      </c>
      <c r="E9" s="60">
        <v>0.1</v>
      </c>
      <c r="F9" s="62">
        <f>Trades!P15</f>
        <v>51.099999999999483</v>
      </c>
      <c r="G9" s="73">
        <f>Trades!P16</f>
        <v>100.00000000000009</v>
      </c>
      <c r="H9" s="63">
        <f>Trades!R15+Trades!R16</f>
        <v>132.78</v>
      </c>
      <c r="I9" s="62">
        <f t="shared" si="5"/>
        <v>128.39999999999517</v>
      </c>
      <c r="J9" s="64">
        <f t="shared" si="6"/>
        <v>10126.010000000002</v>
      </c>
      <c r="K9" s="65"/>
      <c r="L9" s="66"/>
      <c r="N9" s="1" t="s">
        <v>44</v>
      </c>
      <c r="O9" s="5"/>
      <c r="P9" s="5"/>
      <c r="Q9" s="5"/>
      <c r="R9" s="5"/>
      <c r="S9" s="67"/>
      <c r="T9" s="68"/>
      <c r="U9" s="68"/>
      <c r="V9" s="69"/>
      <c r="W9" s="68"/>
      <c r="X9" s="22"/>
      <c r="Y9" s="9"/>
      <c r="Z9" s="9"/>
      <c r="AA9" s="58"/>
      <c r="AB9" s="59"/>
    </row>
    <row r="10" spans="1:28" s="53" customFormat="1" x14ac:dyDescent="0.15">
      <c r="A10" s="44">
        <f t="shared" si="4"/>
        <v>6</v>
      </c>
      <c r="B10" s="44" t="s">
        <v>45</v>
      </c>
      <c r="C10" s="60" t="s">
        <v>46</v>
      </c>
      <c r="D10" s="61">
        <f>Trades!J17</f>
        <v>21.499999999999851</v>
      </c>
      <c r="E10" s="60">
        <v>0.1</v>
      </c>
      <c r="F10" s="62">
        <f>Trades!P17</f>
        <v>30.099999999999572</v>
      </c>
      <c r="G10" s="62">
        <f>Trades!P18</f>
        <v>-9.700000000000264</v>
      </c>
      <c r="H10" s="63">
        <f>Trades!R17+Trades!R18</f>
        <v>18.580000000000005</v>
      </c>
      <c r="I10" s="62">
        <f t="shared" si="5"/>
        <v>148.79999999999447</v>
      </c>
      <c r="J10" s="64">
        <f t="shared" si="6"/>
        <v>10144.590000000002</v>
      </c>
      <c r="K10" s="65"/>
      <c r="L10" s="66"/>
      <c r="N10" s="1" t="s">
        <v>47</v>
      </c>
      <c r="O10" s="5"/>
      <c r="P10" s="5"/>
      <c r="Q10" s="5"/>
      <c r="R10" s="5"/>
      <c r="S10" s="67"/>
      <c r="T10" s="68"/>
      <c r="U10" s="68"/>
      <c r="V10" s="20"/>
      <c r="W10" s="68"/>
      <c r="X10" s="68"/>
      <c r="Y10" s="9"/>
      <c r="Z10" s="23"/>
      <c r="AA10" s="58"/>
      <c r="AB10" s="12"/>
    </row>
    <row r="11" spans="1:28" s="53" customFormat="1" x14ac:dyDescent="0.15">
      <c r="A11" s="44">
        <f t="shared" si="4"/>
        <v>7</v>
      </c>
      <c r="B11" s="44" t="s">
        <v>48</v>
      </c>
      <c r="C11" s="60" t="s">
        <v>49</v>
      </c>
      <c r="D11" s="61">
        <f>Trades!J19</f>
        <v>97.199999999999505</v>
      </c>
      <c r="E11" s="60">
        <v>0.05</v>
      </c>
      <c r="F11" s="62">
        <f>Trades!P19</f>
        <v>98.000000000000313</v>
      </c>
      <c r="G11" s="62">
        <f>Trades!P20</f>
        <v>61.099999999998374</v>
      </c>
      <c r="H11" s="63">
        <f>Trades!R19+Trades!R20</f>
        <v>52.08</v>
      </c>
      <c r="I11" s="62">
        <f t="shared" si="5"/>
        <v>307.89999999999316</v>
      </c>
      <c r="J11" s="70">
        <f t="shared" si="6"/>
        <v>10196.670000000002</v>
      </c>
      <c r="K11" s="65"/>
      <c r="L11" s="66"/>
      <c r="N11" s="1" t="s">
        <v>50</v>
      </c>
      <c r="O11" s="5"/>
      <c r="P11" s="5"/>
      <c r="Q11" s="5"/>
      <c r="R11" s="5"/>
      <c r="S11" s="67"/>
      <c r="T11" s="68"/>
      <c r="U11" s="68"/>
      <c r="V11" s="69"/>
      <c r="W11" s="68"/>
      <c r="X11" s="68"/>
      <c r="Y11" s="9"/>
      <c r="Z11" s="23"/>
      <c r="AA11" s="58"/>
      <c r="AB11" s="59"/>
    </row>
    <row r="12" spans="1:28" s="53" customFormat="1" x14ac:dyDescent="0.15">
      <c r="A12" s="71">
        <f t="shared" si="4"/>
        <v>8</v>
      </c>
      <c r="B12" s="44" t="s">
        <v>51</v>
      </c>
      <c r="C12" s="60" t="s">
        <v>49</v>
      </c>
      <c r="D12" s="61">
        <f>Trades!J21</f>
        <v>28.799999999999937</v>
      </c>
      <c r="E12" s="60">
        <v>0.1</v>
      </c>
      <c r="F12" s="62">
        <f>Trades!P21</f>
        <v>-29.300000000000992</v>
      </c>
      <c r="G12" s="62">
        <f>Trades!P22</f>
        <v>-29.300000000000992</v>
      </c>
      <c r="H12" s="63">
        <f>Trades!R21+Trades!R22</f>
        <v>-58.6</v>
      </c>
      <c r="I12" s="62">
        <f t="shared" si="5"/>
        <v>249.2999999999912</v>
      </c>
      <c r="J12" s="64">
        <f t="shared" si="6"/>
        <v>10138.070000000002</v>
      </c>
      <c r="K12" s="65"/>
      <c r="L12" s="66"/>
      <c r="N12" s="1" t="s">
        <v>52</v>
      </c>
      <c r="O12" s="5"/>
      <c r="P12" s="5"/>
      <c r="Q12" s="5"/>
      <c r="R12" s="5"/>
      <c r="S12" s="67"/>
      <c r="T12" s="68"/>
      <c r="U12" s="68"/>
      <c r="V12" s="67"/>
      <c r="W12" s="68"/>
      <c r="X12" s="68"/>
      <c r="Y12" s="9"/>
      <c r="Z12" s="9"/>
      <c r="AA12" s="58"/>
      <c r="AB12" s="12"/>
    </row>
    <row r="13" spans="1:28" s="53" customFormat="1" x14ac:dyDescent="0.15">
      <c r="A13" s="71">
        <f t="shared" si="4"/>
        <v>9</v>
      </c>
      <c r="B13" s="44" t="s">
        <v>53</v>
      </c>
      <c r="C13" s="60" t="s">
        <v>54</v>
      </c>
      <c r="D13" s="61">
        <f>Trades!J23</f>
        <v>22.799999999999443</v>
      </c>
      <c r="E13" s="60">
        <v>0.1</v>
      </c>
      <c r="F13" s="62">
        <f>Trades!P23</f>
        <v>-22.799999999999443</v>
      </c>
      <c r="G13" s="62">
        <f>Trades!P24</f>
        <v>-22.799999999999443</v>
      </c>
      <c r="H13" s="63">
        <f>Trades!R23+Trades!R24</f>
        <v>-41.86</v>
      </c>
      <c r="I13" s="62">
        <f t="shared" si="5"/>
        <v>203.69999999999231</v>
      </c>
      <c r="J13" s="64">
        <f t="shared" si="6"/>
        <v>10096.210000000001</v>
      </c>
      <c r="K13" s="65"/>
      <c r="L13" s="66"/>
      <c r="N13" s="1" t="s">
        <v>55</v>
      </c>
      <c r="O13" s="5"/>
      <c r="P13" s="5"/>
      <c r="Q13" s="5"/>
      <c r="R13" s="5"/>
      <c r="S13" s="67"/>
      <c r="T13" s="68"/>
      <c r="U13" s="68"/>
      <c r="V13" s="69"/>
      <c r="W13" s="68"/>
      <c r="X13" s="68"/>
      <c r="Y13" s="9"/>
      <c r="Z13" s="23"/>
      <c r="AA13" s="58"/>
      <c r="AB13" s="59"/>
    </row>
    <row r="14" spans="1:28" s="53" customFormat="1" x14ac:dyDescent="0.15">
      <c r="A14" s="71">
        <f t="shared" si="4"/>
        <v>10</v>
      </c>
      <c r="B14" s="44" t="s">
        <v>48</v>
      </c>
      <c r="C14" s="60" t="s">
        <v>54</v>
      </c>
      <c r="D14" s="61">
        <f>Trades!J25</f>
        <v>82.600000000001558</v>
      </c>
      <c r="E14" s="60">
        <v>0.05</v>
      </c>
      <c r="F14" s="62">
        <f>Trades!P25</f>
        <v>-54.700000000000855</v>
      </c>
      <c r="G14" s="62">
        <f>Trades!P26</f>
        <v>-53.900000000000063</v>
      </c>
      <c r="H14" s="63">
        <f>Trades!R25+Trades!R26</f>
        <v>-36.42</v>
      </c>
      <c r="I14" s="62">
        <f t="shared" si="5"/>
        <v>95.099999999991411</v>
      </c>
      <c r="J14" s="72">
        <f t="shared" si="6"/>
        <v>10059.790000000001</v>
      </c>
      <c r="K14" s="88">
        <f>J11-J14</f>
        <v>136.88000000000102</v>
      </c>
      <c r="L14" s="89">
        <f>K14/J11</f>
        <v>1.3423990381173558E-2</v>
      </c>
      <c r="N14" s="1" t="s">
        <v>56</v>
      </c>
      <c r="O14" s="5"/>
      <c r="P14" s="5"/>
      <c r="Q14" s="5"/>
      <c r="R14" s="5"/>
      <c r="S14" s="67"/>
      <c r="T14" s="68"/>
      <c r="U14" s="68"/>
      <c r="V14" s="10"/>
      <c r="W14" s="68"/>
      <c r="X14" s="68"/>
      <c r="Y14" s="9"/>
      <c r="Z14" s="9"/>
      <c r="AA14" s="58"/>
      <c r="AB14" s="12"/>
    </row>
    <row r="15" spans="1:28" s="53" customFormat="1" x14ac:dyDescent="0.15">
      <c r="A15" s="44">
        <f t="shared" si="4"/>
        <v>11</v>
      </c>
      <c r="B15" s="44" t="s">
        <v>57</v>
      </c>
      <c r="C15" s="60" t="s">
        <v>58</v>
      </c>
      <c r="D15" s="61">
        <f>Trades!J27</f>
        <v>34.000000000000696</v>
      </c>
      <c r="E15" s="60">
        <v>0.1</v>
      </c>
      <c r="F15" s="62">
        <f>Trades!P27</f>
        <v>34.399999999999984</v>
      </c>
      <c r="G15" s="62">
        <f>Trades!P28</f>
        <v>51.900000000000276</v>
      </c>
      <c r="H15" s="63">
        <f>Trades!R27+Trades!R28</f>
        <v>113.56</v>
      </c>
      <c r="I15" s="62">
        <f t="shared" si="5"/>
        <v>181.39999999999168</v>
      </c>
      <c r="J15" s="64">
        <f t="shared" si="6"/>
        <v>10173.35</v>
      </c>
      <c r="K15" s="65"/>
      <c r="L15" s="66"/>
      <c r="N15" s="1" t="s">
        <v>59</v>
      </c>
      <c r="O15" s="5"/>
      <c r="P15" s="5"/>
      <c r="Q15" s="5"/>
      <c r="R15" s="5"/>
      <c r="S15" s="67"/>
      <c r="T15" s="68"/>
      <c r="U15" s="68"/>
      <c r="V15" s="67"/>
      <c r="W15" s="68"/>
      <c r="X15" s="68"/>
      <c r="Y15" s="9"/>
      <c r="Z15" s="9"/>
      <c r="AA15" s="58"/>
      <c r="AB15" s="12"/>
    </row>
    <row r="16" spans="1:28" s="53" customFormat="1" x14ac:dyDescent="0.15">
      <c r="A16" s="44">
        <f t="shared" si="4"/>
        <v>12</v>
      </c>
      <c r="B16" s="44" t="s">
        <v>57</v>
      </c>
      <c r="C16" s="274" t="s">
        <v>60</v>
      </c>
      <c r="D16" s="363">
        <f>Trades!J29</f>
        <v>29.799999999999827</v>
      </c>
      <c r="E16" s="274">
        <v>0.1</v>
      </c>
      <c r="F16" s="364">
        <f>Trades!P29</f>
        <v>30.200000000000227</v>
      </c>
      <c r="G16" s="364">
        <f>Trades!P30</f>
        <v>67.399999999999679</v>
      </c>
      <c r="H16" s="365">
        <f>Trades!R29+Trades!R30</f>
        <v>124.72</v>
      </c>
      <c r="I16" s="364">
        <f t="shared" si="5"/>
        <v>278.99999999999159</v>
      </c>
      <c r="J16" s="70">
        <f t="shared" si="6"/>
        <v>10298.07</v>
      </c>
      <c r="K16" s="65"/>
      <c r="L16" s="66"/>
      <c r="N16" s="75" t="s">
        <v>61</v>
      </c>
      <c r="O16" s="5"/>
      <c r="P16" s="5"/>
      <c r="Q16" s="5"/>
      <c r="R16" s="5"/>
      <c r="S16" s="67"/>
      <c r="T16" s="68"/>
      <c r="U16" s="68"/>
      <c r="V16" s="67"/>
      <c r="W16" s="68"/>
      <c r="X16" s="68"/>
      <c r="Y16" s="9"/>
      <c r="Z16" s="9"/>
      <c r="AA16" s="58"/>
      <c r="AB16" s="12"/>
    </row>
    <row r="17" spans="1:28" s="53" customFormat="1" x14ac:dyDescent="0.15">
      <c r="A17" s="71">
        <f t="shared" si="4"/>
        <v>13</v>
      </c>
      <c r="B17" s="366" t="s">
        <v>48</v>
      </c>
      <c r="C17" s="367" t="s">
        <v>62</v>
      </c>
      <c r="D17" s="368">
        <f>Trades!J31</f>
        <v>124.0999999999981</v>
      </c>
      <c r="E17" s="367">
        <v>0.05</v>
      </c>
      <c r="F17" s="369">
        <f>Trades!P31</f>
        <v>-61.100000000000598</v>
      </c>
      <c r="G17" s="369">
        <f>Trades!P32</f>
        <v>-60.599999999997323</v>
      </c>
      <c r="H17" s="370">
        <f>Trades!R31+Trades!R32</f>
        <v>-35.130000000000003</v>
      </c>
      <c r="I17" s="369">
        <f t="shared" si="5"/>
        <v>157.29999999999367</v>
      </c>
      <c r="J17" s="371">
        <f t="shared" si="6"/>
        <v>10262.94</v>
      </c>
      <c r="K17" s="381"/>
      <c r="L17" s="385"/>
      <c r="N17" s="1" t="s">
        <v>63</v>
      </c>
      <c r="O17" s="5">
        <f>SUM(O5:O16)</f>
        <v>25</v>
      </c>
      <c r="P17" s="5">
        <f>SUM(P5:P16)</f>
        <v>17</v>
      </c>
      <c r="Q17" s="5">
        <f>SUM(Q5:Q16)</f>
        <v>8</v>
      </c>
      <c r="R17" s="5">
        <f>SUM(R5:R16)</f>
        <v>0</v>
      </c>
      <c r="S17" s="67">
        <f>P17/(O17-R17)</f>
        <v>0.68</v>
      </c>
      <c r="T17" s="68">
        <f>SUM(T5:T16)</f>
        <v>1989.98</v>
      </c>
      <c r="U17" s="68">
        <f>U3+T17</f>
        <v>11989.98</v>
      </c>
      <c r="V17" s="69">
        <f>T17/U3</f>
        <v>0.19899800000000001</v>
      </c>
      <c r="W17" s="68">
        <f>SUM(W5:W16)</f>
        <v>2503.8900000000003</v>
      </c>
      <c r="X17" s="22">
        <f>W17/P17</f>
        <v>147.28764705882355</v>
      </c>
      <c r="Y17" s="9">
        <f>SUM(Y5:Y16)</f>
        <v>513.91000000000008</v>
      </c>
      <c r="Z17" s="9">
        <f>Y17/Q17</f>
        <v>64.23875000000001</v>
      </c>
      <c r="AA17" s="58">
        <f>1+(X17/Z17)*0.667-1</f>
        <v>1.5293084094605716</v>
      </c>
      <c r="AB17" s="59">
        <f>W17/Y17</f>
        <v>4.8722344379366032</v>
      </c>
    </row>
    <row r="18" spans="1:28" s="53" customFormat="1" x14ac:dyDescent="0.15">
      <c r="A18" s="44">
        <f t="shared" si="4"/>
        <v>14</v>
      </c>
      <c r="B18" s="372" t="s">
        <v>48</v>
      </c>
      <c r="C18" s="274" t="s">
        <v>64</v>
      </c>
      <c r="D18" s="363">
        <f>Trades!J33</f>
        <v>52.50000000000199</v>
      </c>
      <c r="E18" s="274">
        <v>0.05</v>
      </c>
      <c r="F18" s="364">
        <f>Trades!P33</f>
        <v>53.799999999997183</v>
      </c>
      <c r="G18" s="373">
        <f>Trades!P34</f>
        <v>133.79999999999725</v>
      </c>
      <c r="H18" s="365">
        <f>Trades!R33+Trades!R34</f>
        <v>60.260000000000005</v>
      </c>
      <c r="I18" s="364">
        <f t="shared" si="5"/>
        <v>344.89999999998815</v>
      </c>
      <c r="J18" s="374">
        <f t="shared" si="6"/>
        <v>10323.200000000001</v>
      </c>
      <c r="K18" s="382"/>
      <c r="L18" s="386"/>
      <c r="O18" s="1" t="s">
        <v>65</v>
      </c>
      <c r="P18" s="1">
        <v>10</v>
      </c>
      <c r="Q18" s="76">
        <v>5</v>
      </c>
      <c r="R18" s="5"/>
      <c r="S18" s="5"/>
      <c r="T18" s="68"/>
      <c r="U18" s="68"/>
      <c r="V18" s="67"/>
      <c r="W18" s="22"/>
      <c r="X18" s="22"/>
      <c r="Y18" s="23"/>
      <c r="Z18" s="23"/>
      <c r="AA18" s="59"/>
      <c r="AB18" s="59"/>
    </row>
    <row r="19" spans="1:28" s="53" customFormat="1" x14ac:dyDescent="0.15">
      <c r="A19" s="44">
        <f t="shared" si="4"/>
        <v>15</v>
      </c>
      <c r="B19" s="372" t="s">
        <v>66</v>
      </c>
      <c r="C19" s="274" t="s">
        <v>67</v>
      </c>
      <c r="D19" s="363">
        <f>Trades!J35</f>
        <v>90.099999999999625</v>
      </c>
      <c r="E19" s="274">
        <v>0.1</v>
      </c>
      <c r="F19" s="364">
        <f>Trades!P35</f>
        <v>90.900000000000432</v>
      </c>
      <c r="G19" s="364">
        <f>Trades!P36</f>
        <v>45.200000000000799</v>
      </c>
      <c r="H19" s="365">
        <f>Trades!R35+Trades!R36</f>
        <v>102.62</v>
      </c>
      <c r="I19" s="364">
        <f t="shared" si="5"/>
        <v>480.99999999998937</v>
      </c>
      <c r="J19" s="374">
        <f t="shared" si="6"/>
        <v>10425.820000000002</v>
      </c>
      <c r="K19" s="382"/>
      <c r="L19" s="386"/>
      <c r="N19" s="1"/>
      <c r="O19" s="1" t="s">
        <v>68</v>
      </c>
      <c r="P19" s="1" t="s">
        <v>69</v>
      </c>
      <c r="Q19" s="76" t="s">
        <v>26</v>
      </c>
      <c r="R19" s="1" t="s">
        <v>28</v>
      </c>
      <c r="T19" s="68"/>
      <c r="U19" s="68"/>
      <c r="V19" s="67"/>
      <c r="W19" s="22"/>
      <c r="X19" s="22"/>
      <c r="Y19" s="23"/>
      <c r="Z19" s="23"/>
      <c r="AA19" s="59"/>
      <c r="AB19" s="59"/>
    </row>
    <row r="20" spans="1:28" s="53" customFormat="1" x14ac:dyDescent="0.15">
      <c r="A20" s="44">
        <f t="shared" si="4"/>
        <v>16</v>
      </c>
      <c r="B20" s="372" t="s">
        <v>70</v>
      </c>
      <c r="C20" s="274" t="s">
        <v>71</v>
      </c>
      <c r="D20" s="363">
        <f>Trades!J37</f>
        <v>28.000000000000114</v>
      </c>
      <c r="E20" s="274">
        <v>0.2</v>
      </c>
      <c r="F20" s="364">
        <f>Trades!P37</f>
        <v>31.999999999999318</v>
      </c>
      <c r="G20" s="364">
        <f>Trades!P38</f>
        <v>17.999999999999261</v>
      </c>
      <c r="H20" s="365">
        <f>Trades!R37+Trades!R38</f>
        <v>90.8</v>
      </c>
      <c r="I20" s="364">
        <f t="shared" si="5"/>
        <v>530.99999999998795</v>
      </c>
      <c r="J20" s="375">
        <f t="shared" si="6"/>
        <v>10516.62</v>
      </c>
      <c r="K20" s="382"/>
      <c r="L20" s="386"/>
      <c r="N20" s="1"/>
      <c r="O20" s="5"/>
      <c r="P20" s="68">
        <f>W17/P17</f>
        <v>147.28764705882355</v>
      </c>
      <c r="Q20" s="9">
        <f>Y17/Q17</f>
        <v>64.23875000000001</v>
      </c>
      <c r="R20" s="58">
        <f>(1+(P20/Q20))*0.644-1</f>
        <v>1.1205736367205521</v>
      </c>
      <c r="S20" s="76" t="s">
        <v>72</v>
      </c>
      <c r="T20" s="9">
        <f>K33</f>
        <v>136.88000000000102</v>
      </c>
      <c r="U20" s="68"/>
      <c r="V20" s="77" t="s">
        <v>73</v>
      </c>
      <c r="W20" s="78" t="s">
        <v>74</v>
      </c>
      <c r="X20" s="78"/>
      <c r="Y20" s="23"/>
      <c r="Z20" s="23"/>
      <c r="AA20" s="59"/>
      <c r="AB20" s="59"/>
    </row>
    <row r="21" spans="1:28" s="53" customFormat="1" x14ac:dyDescent="0.15">
      <c r="A21" s="71">
        <f t="shared" si="4"/>
        <v>17</v>
      </c>
      <c r="B21" s="372" t="s">
        <v>51</v>
      </c>
      <c r="C21" s="274" t="s">
        <v>71</v>
      </c>
      <c r="D21" s="363">
        <f>Trades!J39</f>
        <v>34.600000000000186</v>
      </c>
      <c r="E21" s="274">
        <v>0.2</v>
      </c>
      <c r="F21" s="364">
        <f>Trades!P39</f>
        <v>-32.300000000000665</v>
      </c>
      <c r="G21" s="364">
        <f>Trades!P40</f>
        <v>-32.300000000000665</v>
      </c>
      <c r="H21" s="365">
        <f>Trades!R39+Trades!R40</f>
        <v>-59.86</v>
      </c>
      <c r="I21" s="364">
        <f t="shared" si="5"/>
        <v>466.39999999998668</v>
      </c>
      <c r="J21" s="376">
        <f t="shared" si="6"/>
        <v>10456.76</v>
      </c>
      <c r="K21" s="382">
        <f>J20-J21</f>
        <v>59.860000000000582</v>
      </c>
      <c r="L21" s="386">
        <f>K21/J20</f>
        <v>5.6919428485578613E-3</v>
      </c>
      <c r="N21" s="1"/>
      <c r="O21" s="1"/>
      <c r="P21" s="68"/>
      <c r="Q21" s="9"/>
      <c r="S21" s="76" t="s">
        <v>75</v>
      </c>
      <c r="T21" s="10">
        <f>L33</f>
        <v>1.3423990381173558E-2</v>
      </c>
      <c r="U21" s="68"/>
      <c r="V21" s="77" t="s">
        <v>76</v>
      </c>
      <c r="W21" s="78" t="s">
        <v>77</v>
      </c>
      <c r="X21" s="78"/>
      <c r="Y21" s="23"/>
      <c r="Z21" s="23"/>
      <c r="AA21" s="59"/>
      <c r="AB21" s="59"/>
    </row>
    <row r="22" spans="1:28" s="53" customFormat="1" x14ac:dyDescent="0.15">
      <c r="A22" s="44">
        <f t="shared" si="4"/>
        <v>18</v>
      </c>
      <c r="B22" s="372" t="s">
        <v>66</v>
      </c>
      <c r="C22" s="274" t="s">
        <v>78</v>
      </c>
      <c r="D22" s="363">
        <f>Trades!J41</f>
        <v>31.000000000001027</v>
      </c>
      <c r="E22" s="274">
        <v>0.2</v>
      </c>
      <c r="F22" s="364">
        <f>Trades!P41</f>
        <v>31.999999999998696</v>
      </c>
      <c r="G22" s="373">
        <f>Trades!P42</f>
        <v>105.19999999999862</v>
      </c>
      <c r="H22" s="365">
        <f>Trades!R41+Trades!R42</f>
        <v>204.29999999999998</v>
      </c>
      <c r="I22" s="364">
        <f t="shared" si="5"/>
        <v>603.59999999998399</v>
      </c>
      <c r="J22" s="374">
        <f t="shared" si="6"/>
        <v>10661.06</v>
      </c>
      <c r="K22" s="382"/>
      <c r="L22" s="386"/>
      <c r="N22" s="1"/>
      <c r="O22" s="5"/>
      <c r="P22" s="5"/>
      <c r="Q22" s="5"/>
      <c r="R22" s="68"/>
      <c r="S22" s="76" t="s">
        <v>79</v>
      </c>
      <c r="T22" s="79">
        <f>L35</f>
        <v>92.965000000000146</v>
      </c>
      <c r="U22" s="68"/>
      <c r="V22" s="69" t="s">
        <v>80</v>
      </c>
      <c r="W22" s="23" t="s">
        <v>26</v>
      </c>
      <c r="X22" s="22"/>
      <c r="Y22" s="23"/>
      <c r="Z22" s="23"/>
      <c r="AA22" s="59"/>
      <c r="AB22" s="12"/>
    </row>
    <row r="23" spans="1:28" s="53" customFormat="1" x14ac:dyDescent="0.15">
      <c r="A23" s="44">
        <f t="shared" si="4"/>
        <v>19</v>
      </c>
      <c r="B23" s="372" t="s">
        <v>81</v>
      </c>
      <c r="C23" s="274" t="s">
        <v>82</v>
      </c>
      <c r="D23" s="363">
        <f>Trades!J43</f>
        <v>15.800000000000125</v>
      </c>
      <c r="E23" s="274">
        <v>0.2</v>
      </c>
      <c r="F23" s="364">
        <f>Trades!P43</f>
        <v>16.199999999999193</v>
      </c>
      <c r="G23" s="364">
        <f>Trades!P44</f>
        <v>25.600000000000023</v>
      </c>
      <c r="H23" s="365">
        <f>Trades!R43+Trades!R44</f>
        <v>73.3</v>
      </c>
      <c r="I23" s="364">
        <f t="shared" si="5"/>
        <v>645.39999999998315</v>
      </c>
      <c r="J23" s="374">
        <f t="shared" si="6"/>
        <v>10734.359999999999</v>
      </c>
      <c r="K23" s="382"/>
      <c r="L23" s="386"/>
      <c r="N23" s="1"/>
      <c r="O23" s="5"/>
      <c r="P23" s="5"/>
      <c r="Q23" s="5"/>
      <c r="R23" s="5"/>
      <c r="S23" s="80"/>
      <c r="T23" s="79"/>
      <c r="U23" s="68"/>
      <c r="V23" s="15">
        <f>W17</f>
        <v>2503.8900000000003</v>
      </c>
      <c r="W23" s="23">
        <f>Y17</f>
        <v>513.91000000000008</v>
      </c>
      <c r="X23" s="22"/>
      <c r="Y23" s="81">
        <f>V23/W23</f>
        <v>4.8722344379366032</v>
      </c>
      <c r="Z23" s="23"/>
      <c r="AA23" s="59"/>
      <c r="AB23" s="12"/>
    </row>
    <row r="24" spans="1:28" s="53" customFormat="1" x14ac:dyDescent="0.15">
      <c r="A24" s="44">
        <f t="shared" si="4"/>
        <v>20</v>
      </c>
      <c r="B24" s="372" t="s">
        <v>83</v>
      </c>
      <c r="C24" s="274" t="s">
        <v>84</v>
      </c>
      <c r="D24" s="363">
        <f>Trades!J45</f>
        <v>18.099999999998673</v>
      </c>
      <c r="E24" s="274">
        <v>0.2</v>
      </c>
      <c r="F24" s="364">
        <f>Trades!P45</f>
        <v>18.800000000001038</v>
      </c>
      <c r="G24" s="364">
        <f>Trades!P46</f>
        <v>0.90000000000145519</v>
      </c>
      <c r="H24" s="365">
        <f>Trades!R45+Trades!R46</f>
        <v>49.08</v>
      </c>
      <c r="I24" s="364">
        <f t="shared" si="5"/>
        <v>665.0999999999857</v>
      </c>
      <c r="J24" s="374">
        <f t="shared" si="6"/>
        <v>10783.439999999999</v>
      </c>
      <c r="K24" s="382"/>
      <c r="L24" s="386"/>
      <c r="N24" s="11"/>
      <c r="O24" s="82"/>
      <c r="P24" s="82"/>
      <c r="Q24" s="83"/>
      <c r="R24" s="84"/>
      <c r="V24" s="85"/>
      <c r="W24" s="86"/>
      <c r="AB24" s="87"/>
    </row>
    <row r="25" spans="1:28" s="53" customFormat="1" x14ac:dyDescent="0.15">
      <c r="A25" s="44">
        <f t="shared" si="4"/>
        <v>21</v>
      </c>
      <c r="B25" s="372" t="s">
        <v>85</v>
      </c>
      <c r="C25" s="274" t="s">
        <v>86</v>
      </c>
      <c r="D25" s="363">
        <f>Trades!J47</f>
        <v>24.299999999999322</v>
      </c>
      <c r="E25" s="274">
        <v>0.2</v>
      </c>
      <c r="F25" s="364">
        <f>Trades!P47</f>
        <v>24.700000000000834</v>
      </c>
      <c r="G25" s="377">
        <f>Trades!P48</f>
        <v>542.79999999999995</v>
      </c>
      <c r="H25" s="365">
        <f>Trades!R47+Trades!R48</f>
        <v>1159.21</v>
      </c>
      <c r="I25" s="364">
        <f t="shared" si="5"/>
        <v>1232.5999999999865</v>
      </c>
      <c r="J25" s="375">
        <f t="shared" si="6"/>
        <v>11942.649999999998</v>
      </c>
      <c r="K25" s="382"/>
      <c r="L25" s="386"/>
      <c r="N25" s="11"/>
      <c r="O25" s="82"/>
      <c r="P25" s="82"/>
      <c r="Q25" s="83"/>
      <c r="R25" s="84"/>
      <c r="V25" s="85"/>
      <c r="W25" s="86"/>
      <c r="AB25" s="87"/>
    </row>
    <row r="26" spans="1:28" s="53" customFormat="1" x14ac:dyDescent="0.15">
      <c r="A26" s="71">
        <f t="shared" si="4"/>
        <v>22</v>
      </c>
      <c r="B26" s="372" t="s">
        <v>83</v>
      </c>
      <c r="C26" s="274" t="s">
        <v>87</v>
      </c>
      <c r="D26" s="363">
        <f>Trades!J49</f>
        <v>14.299999999998203</v>
      </c>
      <c r="E26" s="274">
        <v>0.2</v>
      </c>
      <c r="F26" s="364">
        <f>Trades!P49</f>
        <v>-15.099999999999003</v>
      </c>
      <c r="G26" s="364">
        <f>Trades!P50</f>
        <v>-15.099999999999003</v>
      </c>
      <c r="H26" s="365">
        <f>Trades!R49+Trades!R50</f>
        <v>-62.72</v>
      </c>
      <c r="I26" s="364">
        <f t="shared" si="5"/>
        <v>1202.3999999999885</v>
      </c>
      <c r="J26" s="376">
        <f t="shared" si="6"/>
        <v>11879.929999999998</v>
      </c>
      <c r="K26" s="382">
        <f>J25-J26</f>
        <v>62.719999999999345</v>
      </c>
      <c r="L26" s="386">
        <f>K26/J25</f>
        <v>5.2517657303864183E-3</v>
      </c>
      <c r="N26" s="11"/>
      <c r="O26" s="82"/>
      <c r="P26" s="82"/>
      <c r="Q26" s="83"/>
      <c r="R26" s="84"/>
      <c r="V26" s="85"/>
      <c r="W26" s="86"/>
      <c r="AB26" s="87"/>
    </row>
    <row r="27" spans="1:28" s="53" customFormat="1" x14ac:dyDescent="0.15">
      <c r="A27" s="44">
        <f t="shared" si="4"/>
        <v>23</v>
      </c>
      <c r="B27" s="372" t="s">
        <v>88</v>
      </c>
      <c r="C27" s="274" t="s">
        <v>87</v>
      </c>
      <c r="D27" s="363">
        <f>Trades!J51</f>
        <v>36.000000000000476</v>
      </c>
      <c r="E27" s="274">
        <v>0.2</v>
      </c>
      <c r="F27" s="364">
        <f>Trades!P51</f>
        <v>37.000000000000369</v>
      </c>
      <c r="G27" s="364">
        <f>Trades!P52</f>
        <v>56.39999999999867</v>
      </c>
      <c r="H27" s="365">
        <f>Trades!R51+Trades!R52</f>
        <v>190.54000000000002</v>
      </c>
      <c r="I27" s="364">
        <f t="shared" si="5"/>
        <v>1295.7999999999877</v>
      </c>
      <c r="J27" s="375">
        <f t="shared" si="6"/>
        <v>12070.47</v>
      </c>
      <c r="K27" s="382"/>
      <c r="L27" s="386"/>
      <c r="N27" s="11"/>
      <c r="O27" s="82"/>
      <c r="P27" s="82"/>
      <c r="Q27" s="83"/>
      <c r="R27" s="84"/>
      <c r="V27" s="85"/>
      <c r="W27" s="86"/>
      <c r="AB27" s="87"/>
    </row>
    <row r="28" spans="1:28" s="53" customFormat="1" x14ac:dyDescent="0.15">
      <c r="A28" s="71">
        <f t="shared" si="4"/>
        <v>24</v>
      </c>
      <c r="B28" s="372" t="s">
        <v>30</v>
      </c>
      <c r="C28" s="274" t="s">
        <v>89</v>
      </c>
      <c r="D28" s="363">
        <f>Trades!J53</f>
        <v>50.000000000001151</v>
      </c>
      <c r="E28" s="274">
        <v>0.2</v>
      </c>
      <c r="F28" s="364">
        <f>Trades!P53</f>
        <v>-50.000000000001151</v>
      </c>
      <c r="G28" s="364">
        <f>Trades!P54</f>
        <v>-50.000000000001151</v>
      </c>
      <c r="H28" s="365">
        <f>Trades!R53+Trades!R54</f>
        <v>-106.91999999999999</v>
      </c>
      <c r="I28" s="364">
        <f t="shared" si="5"/>
        <v>1195.7999999999854</v>
      </c>
      <c r="J28" s="374">
        <f t="shared" si="6"/>
        <v>11963.55</v>
      </c>
      <c r="K28" s="382"/>
      <c r="L28" s="386"/>
      <c r="N28" s="11"/>
      <c r="O28" s="82"/>
      <c r="P28" s="82"/>
      <c r="Q28" s="83"/>
      <c r="R28" s="84"/>
      <c r="V28" s="85"/>
      <c r="W28" s="86"/>
      <c r="AB28" s="87"/>
    </row>
    <row r="29" spans="1:28" s="53" customFormat="1" x14ac:dyDescent="0.15">
      <c r="A29" s="44">
        <f t="shared" si="4"/>
        <v>25</v>
      </c>
      <c r="B29" s="372" t="s">
        <v>33</v>
      </c>
      <c r="C29" s="274" t="s">
        <v>89</v>
      </c>
      <c r="D29" s="363">
        <f>Trades!J55</f>
        <v>23.000000000001908</v>
      </c>
      <c r="E29" s="274">
        <v>0.2</v>
      </c>
      <c r="F29" s="364">
        <f>Trades!P55</f>
        <v>15.999999999998238</v>
      </c>
      <c r="G29" s="364">
        <f>Trades!P56</f>
        <v>1.2999999999996348</v>
      </c>
      <c r="H29" s="365">
        <f>Trades!R55+Trades!R56</f>
        <v>26.43</v>
      </c>
      <c r="I29" s="364">
        <f t="shared" si="5"/>
        <v>1213.0999999999833</v>
      </c>
      <c r="J29" s="374">
        <f t="shared" si="6"/>
        <v>11989.98</v>
      </c>
      <c r="K29" s="382"/>
      <c r="L29" s="386"/>
      <c r="N29" s="11"/>
      <c r="O29" s="82"/>
      <c r="P29" s="82"/>
      <c r="Q29" s="83"/>
      <c r="R29" s="84"/>
      <c r="V29" s="85"/>
      <c r="W29" s="86"/>
      <c r="AB29" s="87"/>
    </row>
    <row r="30" spans="1:28" s="53" customFormat="1" x14ac:dyDescent="0.15">
      <c r="A30" s="359"/>
      <c r="B30" s="372"/>
      <c r="C30" s="274"/>
      <c r="D30" s="363"/>
      <c r="E30" s="274"/>
      <c r="F30" s="364"/>
      <c r="G30" s="364"/>
      <c r="H30" s="365"/>
      <c r="I30" s="364"/>
      <c r="J30" s="374"/>
      <c r="K30" s="382"/>
      <c r="L30" s="386"/>
      <c r="N30" s="11"/>
      <c r="O30" s="82"/>
      <c r="P30" s="82"/>
      <c r="Q30" s="83"/>
      <c r="R30" s="84"/>
      <c r="V30" s="85"/>
      <c r="W30" s="86"/>
      <c r="AB30" s="87"/>
    </row>
    <row r="31" spans="1:28" s="53" customFormat="1" x14ac:dyDescent="0.15">
      <c r="A31" s="359"/>
      <c r="B31" s="372"/>
      <c r="C31" s="274"/>
      <c r="D31" s="363"/>
      <c r="E31" s="274"/>
      <c r="F31" s="364"/>
      <c r="G31" s="364"/>
      <c r="H31" s="365"/>
      <c r="I31" s="364"/>
      <c r="J31" s="374"/>
      <c r="K31" s="382"/>
      <c r="L31" s="386"/>
      <c r="N31" s="11"/>
      <c r="O31" s="82"/>
      <c r="P31" s="82"/>
      <c r="Q31" s="83"/>
      <c r="R31" s="84"/>
      <c r="V31" s="85"/>
      <c r="W31" s="86"/>
      <c r="AB31" s="87"/>
    </row>
    <row r="32" spans="1:28" s="53" customFormat="1" x14ac:dyDescent="0.15">
      <c r="A32" s="1"/>
      <c r="B32" s="378"/>
      <c r="C32" s="90"/>
      <c r="D32" s="91"/>
      <c r="E32" s="90"/>
      <c r="F32" s="92"/>
      <c r="G32" s="92"/>
      <c r="H32" s="93"/>
      <c r="I32" s="92"/>
      <c r="J32" s="379"/>
      <c r="K32" s="383"/>
      <c r="L32" s="387"/>
      <c r="N32" s="11"/>
      <c r="O32" s="82"/>
      <c r="P32" s="82"/>
      <c r="Q32" s="83"/>
      <c r="R32" s="84"/>
      <c r="V32" s="85"/>
      <c r="W32" s="86"/>
      <c r="AB32" s="87"/>
    </row>
    <row r="33" spans="1:28" s="53" customFormat="1" x14ac:dyDescent="0.15">
      <c r="A33" s="1"/>
      <c r="B33" s="1"/>
      <c r="C33" s="94">
        <f>P17</f>
        <v>17</v>
      </c>
      <c r="D33" s="95">
        <f>Q17</f>
        <v>8</v>
      </c>
      <c r="E33" s="96">
        <f>C33/(C33+D33)</f>
        <v>0.68</v>
      </c>
      <c r="F33" s="6"/>
      <c r="G33" s="97" t="s">
        <v>90</v>
      </c>
      <c r="H33" s="98">
        <f>SUM(H5:H32)</f>
        <v>1989.9800000000002</v>
      </c>
      <c r="I33" s="97">
        <v>6525</v>
      </c>
      <c r="J33" s="96">
        <f>H33/J2</f>
        <v>0.19899800000000004</v>
      </c>
      <c r="K33" s="380">
        <f>K14</f>
        <v>136.88000000000102</v>
      </c>
      <c r="L33" s="384">
        <f>L14</f>
        <v>1.3423990381173558E-2</v>
      </c>
      <c r="N33" s="11"/>
      <c r="O33" s="82"/>
      <c r="P33" s="82"/>
      <c r="Q33" s="83"/>
      <c r="R33" s="84"/>
      <c r="V33" s="85"/>
      <c r="W33" s="86"/>
      <c r="AB33" s="87"/>
    </row>
    <row r="34" spans="1:28" s="53" customFormat="1" x14ac:dyDescent="0.15">
      <c r="A34" s="1"/>
      <c r="B34" s="1"/>
      <c r="C34" s="25" t="s">
        <v>18</v>
      </c>
      <c r="D34" s="27" t="s">
        <v>19</v>
      </c>
      <c r="E34" s="24" t="s">
        <v>91</v>
      </c>
      <c r="F34" s="6"/>
      <c r="G34" s="6"/>
      <c r="H34" s="100" t="s">
        <v>92</v>
      </c>
      <c r="I34" s="101" t="s">
        <v>93</v>
      </c>
      <c r="J34" s="102" t="s">
        <v>94</v>
      </c>
      <c r="K34" s="32" t="s">
        <v>95</v>
      </c>
      <c r="L34" s="99" t="s">
        <v>96</v>
      </c>
      <c r="N34" s="11"/>
      <c r="O34" s="82"/>
      <c r="P34" s="82"/>
      <c r="Q34" s="83"/>
      <c r="R34" s="84"/>
      <c r="V34" s="85"/>
      <c r="W34" s="86"/>
      <c r="AB34" s="87"/>
    </row>
    <row r="35" spans="1:28" s="53" customFormat="1" x14ac:dyDescent="0.15">
      <c r="A35" s="1"/>
      <c r="B35" s="1"/>
      <c r="C35" s="1"/>
      <c r="D35" s="17"/>
      <c r="E35" s="1"/>
      <c r="F35" s="6"/>
      <c r="G35" s="103"/>
      <c r="H35" s="104"/>
      <c r="I35" s="103"/>
      <c r="J35" s="105"/>
      <c r="K35" s="106" t="s">
        <v>97</v>
      </c>
      <c r="L35" s="107">
        <f>(K8+K14+K21+K26)/4</f>
        <v>92.965000000000146</v>
      </c>
      <c r="N35" s="11"/>
      <c r="O35" s="82"/>
      <c r="P35" s="82"/>
      <c r="Q35" s="83"/>
      <c r="R35" s="84"/>
      <c r="V35" s="85"/>
      <c r="W35" s="86"/>
      <c r="AB35" s="87"/>
    </row>
    <row r="36" spans="1:28" s="53" customFormat="1" x14ac:dyDescent="0.15">
      <c r="A36" s="1"/>
      <c r="B36" s="1"/>
      <c r="C36" s="5"/>
      <c r="D36" s="4"/>
      <c r="E36" s="5"/>
      <c r="F36" s="6"/>
      <c r="G36" s="6"/>
      <c r="H36" s="7"/>
      <c r="I36" s="6"/>
      <c r="J36" s="8"/>
      <c r="K36" s="9"/>
      <c r="L36" s="10"/>
      <c r="N36" s="11"/>
    </row>
    <row r="37" spans="1:28" s="53" customFormat="1" x14ac:dyDescent="0.15">
      <c r="A37" s="1"/>
      <c r="B37" s="1"/>
      <c r="C37" s="5"/>
      <c r="D37" s="4"/>
      <c r="E37" s="5"/>
      <c r="F37" s="6"/>
      <c r="G37" s="6"/>
      <c r="H37" s="7"/>
      <c r="I37" s="6"/>
      <c r="J37" s="8"/>
      <c r="K37" s="9"/>
      <c r="L37" s="10"/>
      <c r="N37" s="11"/>
      <c r="O37" s="82"/>
      <c r="P37" s="82"/>
      <c r="Q37" s="83"/>
      <c r="R37" s="84"/>
      <c r="V37" s="85"/>
      <c r="W37" s="86"/>
      <c r="AB37" s="87"/>
    </row>
    <row r="38" spans="1:28" s="53" customFormat="1" x14ac:dyDescent="0.15">
      <c r="A38" s="1"/>
      <c r="B38" s="1"/>
      <c r="C38" s="5"/>
      <c r="D38" s="4"/>
      <c r="E38" s="5"/>
      <c r="F38" s="6"/>
      <c r="G38" s="6"/>
      <c r="H38" s="7"/>
      <c r="I38" s="6"/>
      <c r="J38" s="8"/>
      <c r="K38" s="9"/>
      <c r="L38" s="10"/>
      <c r="N38" s="11"/>
      <c r="O38" s="82"/>
      <c r="P38" s="82"/>
      <c r="Q38" s="83"/>
      <c r="R38" s="84"/>
      <c r="V38" s="85"/>
      <c r="W38" s="86"/>
      <c r="AB38" s="87"/>
    </row>
    <row r="39" spans="1:28" s="53" customFormat="1" x14ac:dyDescent="0.15">
      <c r="A39" s="1"/>
      <c r="B39" s="1"/>
      <c r="C39" s="5"/>
      <c r="D39" s="4"/>
      <c r="E39" s="5"/>
      <c r="F39" s="6"/>
      <c r="G39" s="6"/>
      <c r="H39" s="7"/>
      <c r="I39" s="6"/>
      <c r="J39" s="8"/>
      <c r="K39" s="9"/>
      <c r="L39" s="10"/>
      <c r="N39" s="11"/>
      <c r="AB39" s="87"/>
    </row>
    <row r="40" spans="1:28" s="53" customFormat="1" x14ac:dyDescent="0.15">
      <c r="A40" s="1"/>
      <c r="B40" s="1"/>
      <c r="C40" s="5"/>
      <c r="D40" s="4"/>
      <c r="E40" s="5"/>
      <c r="F40" s="6"/>
      <c r="G40" s="6"/>
      <c r="H40" s="7"/>
      <c r="I40" s="6"/>
      <c r="J40" s="8"/>
      <c r="K40" s="9"/>
      <c r="L40" s="10"/>
      <c r="N40" s="11"/>
      <c r="O40" s="82"/>
      <c r="P40" s="82"/>
      <c r="Q40" s="83"/>
      <c r="R40" s="84"/>
      <c r="V40" s="85"/>
      <c r="W40" s="86"/>
      <c r="AB40" s="87"/>
    </row>
    <row r="41" spans="1:28" s="53" customFormat="1" x14ac:dyDescent="0.15">
      <c r="A41" s="1"/>
      <c r="B41" s="1"/>
      <c r="C41" s="5"/>
      <c r="D41" s="4"/>
      <c r="E41" s="5"/>
      <c r="F41" s="6"/>
      <c r="G41" s="6"/>
      <c r="H41" s="7"/>
      <c r="I41" s="6"/>
      <c r="J41" s="8"/>
      <c r="K41" s="9"/>
      <c r="L41" s="10"/>
      <c r="N41" s="11"/>
      <c r="O41" s="82"/>
      <c r="P41" s="82"/>
      <c r="Q41" s="83"/>
      <c r="R41" s="84"/>
      <c r="V41" s="85"/>
      <c r="W41" s="86"/>
      <c r="AB41" s="87"/>
    </row>
    <row r="42" spans="1:28" s="53" customFormat="1" x14ac:dyDescent="0.15">
      <c r="A42" s="1"/>
      <c r="B42" s="1"/>
      <c r="C42" s="5"/>
      <c r="D42" s="4"/>
      <c r="E42" s="5"/>
      <c r="F42" s="6"/>
      <c r="G42" s="6"/>
      <c r="H42" s="7"/>
      <c r="I42" s="6"/>
      <c r="J42" s="8"/>
      <c r="K42" s="9"/>
      <c r="L42" s="10"/>
      <c r="N42" s="11"/>
      <c r="O42" s="82"/>
      <c r="P42" s="82"/>
      <c r="Q42" s="83"/>
      <c r="R42" s="84"/>
      <c r="V42" s="85"/>
      <c r="W42" s="86"/>
      <c r="AB42" s="87"/>
    </row>
    <row r="43" spans="1:28" s="53" customFormat="1" x14ac:dyDescent="0.15">
      <c r="A43" s="1"/>
      <c r="B43" s="1"/>
      <c r="C43" s="5"/>
      <c r="D43" s="4"/>
      <c r="E43" s="5"/>
      <c r="F43" s="6"/>
      <c r="G43" s="6"/>
      <c r="H43" s="7"/>
      <c r="I43" s="6"/>
      <c r="J43" s="8"/>
      <c r="K43" s="9"/>
      <c r="L43" s="10"/>
      <c r="N43" s="11"/>
      <c r="O43" s="82"/>
      <c r="P43" s="82"/>
      <c r="Q43" s="83"/>
      <c r="R43" s="84"/>
      <c r="V43" s="85"/>
      <c r="W43" s="86"/>
      <c r="AB43" s="87"/>
    </row>
    <row r="44" spans="1:28" s="53" customFormat="1" x14ac:dyDescent="0.15">
      <c r="A44" s="1"/>
      <c r="B44" s="1"/>
      <c r="C44" s="5"/>
      <c r="D44" s="4"/>
      <c r="E44" s="5"/>
      <c r="F44" s="6"/>
      <c r="G44" s="6"/>
      <c r="H44" s="7"/>
      <c r="I44" s="6"/>
      <c r="J44" s="8"/>
      <c r="K44" s="9"/>
      <c r="L44" s="10"/>
      <c r="N44" s="11"/>
      <c r="O44" s="82"/>
      <c r="P44" s="82"/>
      <c r="Q44" s="83"/>
      <c r="R44" s="84"/>
      <c r="V44" s="85"/>
      <c r="W44" s="86"/>
      <c r="AB44" s="87"/>
    </row>
    <row r="45" spans="1:28" s="53" customFormat="1" x14ac:dyDescent="0.15">
      <c r="A45" s="1"/>
      <c r="B45" s="1"/>
      <c r="C45" s="5"/>
      <c r="D45" s="4"/>
      <c r="E45" s="5"/>
      <c r="F45" s="6"/>
      <c r="G45" s="6"/>
      <c r="H45" s="7"/>
      <c r="I45" s="6"/>
      <c r="J45" s="8"/>
      <c r="K45" s="9"/>
      <c r="L45" s="10"/>
      <c r="N45" s="11"/>
      <c r="O45" s="82"/>
      <c r="P45" s="82"/>
      <c r="Q45" s="83"/>
      <c r="R45" s="84"/>
      <c r="V45" s="85"/>
      <c r="W45" s="86"/>
      <c r="AB45" s="87"/>
    </row>
    <row r="46" spans="1:28" s="53" customFormat="1" x14ac:dyDescent="0.15">
      <c r="A46" s="1"/>
      <c r="B46" s="1"/>
      <c r="C46" s="5"/>
      <c r="D46" s="4"/>
      <c r="E46" s="5"/>
      <c r="F46" s="6"/>
      <c r="G46" s="6"/>
      <c r="H46" s="7"/>
      <c r="I46" s="6"/>
      <c r="J46" s="8"/>
      <c r="K46" s="9"/>
      <c r="L46" s="10"/>
      <c r="N46" s="11"/>
      <c r="O46" s="82"/>
      <c r="P46" s="82"/>
      <c r="Q46" s="83"/>
      <c r="R46" s="84"/>
      <c r="V46" s="85"/>
      <c r="W46" s="86"/>
      <c r="AB46" s="87"/>
    </row>
    <row r="47" spans="1:28" s="53" customFormat="1" x14ac:dyDescent="0.15">
      <c r="A47" s="1"/>
      <c r="B47" s="1"/>
      <c r="C47" s="5"/>
      <c r="D47" s="4"/>
      <c r="E47" s="5"/>
      <c r="F47" s="6"/>
      <c r="G47" s="6"/>
      <c r="H47" s="7"/>
      <c r="I47" s="6"/>
      <c r="J47" s="8"/>
      <c r="K47" s="9"/>
      <c r="L47" s="10"/>
      <c r="N47" s="11"/>
      <c r="O47" s="82"/>
      <c r="P47" s="82"/>
      <c r="Q47" s="83"/>
      <c r="R47" s="84"/>
      <c r="V47" s="85"/>
      <c r="W47" s="86"/>
      <c r="AB47" s="87"/>
    </row>
    <row r="48" spans="1:28" s="53" customFormat="1" x14ac:dyDescent="0.15">
      <c r="A48" s="1"/>
      <c r="B48" s="1"/>
      <c r="C48" s="5"/>
      <c r="D48" s="4"/>
      <c r="E48" s="5"/>
      <c r="F48" s="6"/>
      <c r="G48" s="6"/>
      <c r="H48" s="7"/>
      <c r="I48" s="6"/>
      <c r="J48" s="8"/>
      <c r="K48" s="9"/>
      <c r="L48" s="10"/>
      <c r="N48" s="11"/>
      <c r="O48" s="82"/>
      <c r="P48" s="82"/>
      <c r="Q48" s="83"/>
      <c r="R48" s="84"/>
      <c r="V48" s="85"/>
      <c r="W48" s="86"/>
      <c r="AB48" s="87"/>
    </row>
    <row r="49" spans="1:28" s="53" customFormat="1" x14ac:dyDescent="0.15">
      <c r="A49" s="1"/>
      <c r="B49" s="1"/>
      <c r="C49" s="5"/>
      <c r="D49" s="4"/>
      <c r="E49" s="5"/>
      <c r="F49" s="6"/>
      <c r="G49" s="6"/>
      <c r="H49" s="7"/>
      <c r="I49" s="6"/>
      <c r="J49" s="8"/>
      <c r="K49" s="9"/>
      <c r="L49" s="10"/>
      <c r="N49" s="11"/>
      <c r="O49" s="82"/>
      <c r="P49" s="82"/>
      <c r="Q49" s="83"/>
      <c r="R49" s="84"/>
      <c r="V49" s="85"/>
      <c r="W49" s="86"/>
      <c r="AB49" s="87"/>
    </row>
    <row r="50" spans="1:28" s="53" customFormat="1" x14ac:dyDescent="0.15">
      <c r="A50" s="1"/>
      <c r="B50" s="1"/>
      <c r="C50" s="5"/>
      <c r="D50" s="4"/>
      <c r="E50" s="5"/>
      <c r="F50" s="6"/>
      <c r="G50" s="6"/>
      <c r="H50" s="7"/>
      <c r="I50" s="6"/>
      <c r="J50" s="8"/>
      <c r="K50" s="9"/>
      <c r="L50" s="10"/>
      <c r="N50" s="11"/>
      <c r="O50" s="82"/>
      <c r="P50" s="82"/>
      <c r="Q50" s="83"/>
      <c r="R50" s="84"/>
      <c r="V50" s="85"/>
      <c r="W50" s="86"/>
      <c r="AB50" s="87"/>
    </row>
    <row r="51" spans="1:28" s="53" customFormat="1" x14ac:dyDescent="0.15">
      <c r="A51" s="1"/>
      <c r="B51" s="1"/>
      <c r="C51" s="5"/>
      <c r="D51" s="4"/>
      <c r="E51" s="5"/>
      <c r="F51" s="6"/>
      <c r="G51" s="6"/>
      <c r="H51" s="7"/>
      <c r="I51" s="6"/>
      <c r="J51" s="8"/>
      <c r="K51" s="9"/>
      <c r="L51" s="10"/>
      <c r="N51" s="11"/>
      <c r="O51" s="82"/>
      <c r="P51" s="82"/>
      <c r="Q51" s="83"/>
      <c r="R51" s="84"/>
      <c r="V51" s="85"/>
      <c r="W51" s="86"/>
      <c r="AB51" s="87"/>
    </row>
    <row r="52" spans="1:28" s="53" customFormat="1" x14ac:dyDescent="0.15">
      <c r="A52" s="1"/>
      <c r="B52" s="1"/>
      <c r="C52" s="5"/>
      <c r="D52" s="4"/>
      <c r="E52" s="5"/>
      <c r="F52" s="6"/>
      <c r="G52" s="6"/>
      <c r="H52" s="7"/>
      <c r="I52" s="6"/>
      <c r="J52" s="8"/>
      <c r="K52" s="9"/>
      <c r="L52" s="10"/>
      <c r="N52" s="11"/>
      <c r="O52" s="82"/>
      <c r="P52" s="82"/>
      <c r="Q52" s="83"/>
      <c r="R52" s="84"/>
      <c r="V52" s="85"/>
      <c r="W52" s="86"/>
      <c r="AB52" s="87"/>
    </row>
    <row r="53" spans="1:28" s="53" customFormat="1" x14ac:dyDescent="0.15">
      <c r="A53" s="1"/>
      <c r="B53" s="1"/>
      <c r="C53" s="5"/>
      <c r="D53" s="4"/>
      <c r="E53" s="5"/>
      <c r="F53" s="6"/>
      <c r="G53" s="6"/>
      <c r="H53" s="7"/>
      <c r="I53" s="6"/>
      <c r="J53" s="8"/>
      <c r="K53" s="9"/>
      <c r="L53" s="10"/>
      <c r="N53" s="11"/>
      <c r="O53" s="82"/>
      <c r="P53" s="82"/>
      <c r="Q53" s="83"/>
      <c r="R53" s="84"/>
      <c r="V53" s="85"/>
      <c r="W53" s="86"/>
      <c r="AB53" s="87"/>
    </row>
    <row r="54" spans="1:28" s="53" customFormat="1" x14ac:dyDescent="0.15">
      <c r="A54" s="1"/>
      <c r="B54" s="1"/>
      <c r="C54" s="5"/>
      <c r="D54" s="4"/>
      <c r="E54" s="5"/>
      <c r="F54" s="6"/>
      <c r="G54" s="6"/>
      <c r="H54" s="7"/>
      <c r="I54" s="6"/>
      <c r="J54" s="8"/>
      <c r="K54" s="9"/>
      <c r="L54" s="10"/>
      <c r="N54" s="11"/>
      <c r="O54" s="82"/>
      <c r="P54" s="82"/>
      <c r="Q54" s="83"/>
      <c r="R54" s="84"/>
      <c r="V54" s="85"/>
      <c r="W54" s="86"/>
      <c r="AB54" s="87"/>
    </row>
    <row r="55" spans="1:28" s="53" customFormat="1" x14ac:dyDescent="0.15">
      <c r="A55" s="1"/>
      <c r="B55" s="1"/>
      <c r="C55" s="5"/>
      <c r="D55" s="4"/>
      <c r="E55" s="5"/>
      <c r="F55" s="6"/>
      <c r="G55" s="6"/>
      <c r="H55" s="7"/>
      <c r="I55" s="6"/>
      <c r="J55" s="8"/>
      <c r="K55" s="9"/>
      <c r="L55" s="10"/>
      <c r="N55" s="11"/>
      <c r="O55" s="82"/>
      <c r="P55" s="82"/>
      <c r="Q55" s="83"/>
      <c r="R55" s="84"/>
      <c r="V55" s="85"/>
      <c r="W55" s="86"/>
      <c r="AB55" s="87"/>
    </row>
    <row r="56" spans="1:28" s="53" customFormat="1" x14ac:dyDescent="0.15">
      <c r="A56" s="1"/>
      <c r="B56" s="1"/>
      <c r="C56" s="5"/>
      <c r="D56" s="4"/>
      <c r="E56" s="5"/>
      <c r="F56" s="6"/>
      <c r="G56" s="6"/>
      <c r="H56" s="7"/>
      <c r="I56" s="6"/>
      <c r="J56" s="8"/>
      <c r="K56" s="9"/>
      <c r="L56" s="10"/>
      <c r="N56" s="11"/>
      <c r="O56" s="82"/>
      <c r="P56" s="82"/>
      <c r="Q56" s="83"/>
      <c r="R56" s="84"/>
      <c r="V56" s="85"/>
      <c r="W56" s="86"/>
      <c r="AB56" s="87"/>
    </row>
    <row r="57" spans="1:28" s="53" customFormat="1" x14ac:dyDescent="0.15">
      <c r="A57" s="1"/>
      <c r="B57" s="1"/>
      <c r="C57" s="5"/>
      <c r="D57" s="4"/>
      <c r="E57" s="5"/>
      <c r="F57" s="6"/>
      <c r="G57" s="6"/>
      <c r="H57" s="7"/>
      <c r="I57" s="6"/>
      <c r="J57" s="8"/>
      <c r="K57" s="9"/>
      <c r="L57" s="10"/>
      <c r="N57" s="11"/>
      <c r="O57" s="82"/>
      <c r="P57" s="82"/>
      <c r="Q57" s="83"/>
      <c r="R57" s="84"/>
      <c r="V57" s="85"/>
      <c r="W57" s="86"/>
      <c r="AB57" s="87"/>
    </row>
    <row r="58" spans="1:28" s="53" customFormat="1" x14ac:dyDescent="0.15">
      <c r="A58" s="1"/>
      <c r="B58" s="1"/>
      <c r="C58" s="5"/>
      <c r="D58" s="4"/>
      <c r="E58" s="5"/>
      <c r="F58" s="6"/>
      <c r="G58" s="6"/>
      <c r="H58" s="7"/>
      <c r="I58" s="6"/>
      <c r="J58" s="8"/>
      <c r="K58" s="9"/>
      <c r="L58" s="10"/>
      <c r="N58" s="11"/>
      <c r="O58" s="82"/>
      <c r="P58" s="82"/>
      <c r="Q58" s="83"/>
      <c r="R58" s="84"/>
      <c r="V58" s="85"/>
      <c r="W58" s="86"/>
      <c r="AB58" s="87"/>
    </row>
    <row r="59" spans="1:28" s="53" customFormat="1" x14ac:dyDescent="0.15">
      <c r="A59" s="1"/>
      <c r="B59" s="1"/>
      <c r="C59" s="5"/>
      <c r="D59" s="4"/>
      <c r="E59" s="5"/>
      <c r="F59" s="6"/>
      <c r="G59" s="6"/>
      <c r="H59" s="7"/>
      <c r="I59" s="6"/>
      <c r="J59" s="8"/>
      <c r="K59" s="9"/>
      <c r="L59" s="10"/>
      <c r="N59" s="11"/>
      <c r="O59" s="82"/>
      <c r="P59" s="82"/>
      <c r="Q59" s="83"/>
      <c r="R59" s="84"/>
      <c r="V59" s="85"/>
      <c r="W59" s="86"/>
      <c r="AB59" s="87"/>
    </row>
    <row r="60" spans="1:28" s="53" customFormat="1" x14ac:dyDescent="0.15">
      <c r="A60" s="1"/>
      <c r="B60" s="1"/>
      <c r="C60" s="5"/>
      <c r="D60" s="4"/>
      <c r="E60" s="5"/>
      <c r="F60" s="6"/>
      <c r="G60" s="6"/>
      <c r="H60" s="7"/>
      <c r="I60" s="6"/>
      <c r="J60" s="8"/>
      <c r="K60" s="9"/>
      <c r="L60" s="10"/>
      <c r="N60" s="11"/>
      <c r="O60" s="82"/>
      <c r="P60" s="82"/>
      <c r="Q60" s="83"/>
      <c r="R60" s="84"/>
      <c r="V60" s="85"/>
      <c r="W60" s="86"/>
      <c r="AB60" s="87"/>
    </row>
    <row r="61" spans="1:28" s="53" customFormat="1" x14ac:dyDescent="0.15">
      <c r="A61" s="1"/>
      <c r="B61" s="1"/>
      <c r="C61" s="5"/>
      <c r="D61" s="4"/>
      <c r="E61" s="5"/>
      <c r="F61" s="6"/>
      <c r="G61" s="6"/>
      <c r="H61" s="7"/>
      <c r="I61" s="6"/>
      <c r="J61" s="8"/>
      <c r="K61" s="9"/>
      <c r="L61" s="10"/>
      <c r="N61" s="11"/>
      <c r="O61" s="82"/>
      <c r="P61" s="82"/>
      <c r="Q61" s="83"/>
      <c r="R61" s="84"/>
      <c r="V61" s="85"/>
      <c r="W61" s="86"/>
      <c r="AB61" s="87"/>
    </row>
    <row r="62" spans="1:28" s="53" customFormat="1" x14ac:dyDescent="0.15">
      <c r="A62" s="1"/>
      <c r="B62" s="1"/>
      <c r="C62" s="5"/>
      <c r="D62" s="4"/>
      <c r="E62" s="5"/>
      <c r="F62" s="6"/>
      <c r="G62" s="6"/>
      <c r="H62" s="7"/>
      <c r="I62" s="6"/>
      <c r="J62" s="8"/>
      <c r="K62" s="9"/>
      <c r="L62" s="10"/>
      <c r="N62" s="11"/>
      <c r="O62" s="82"/>
      <c r="P62" s="82"/>
      <c r="Q62" s="83"/>
      <c r="R62" s="84"/>
      <c r="V62" s="85"/>
      <c r="W62" s="86"/>
      <c r="AB62" s="87"/>
    </row>
    <row r="63" spans="1:28" s="53" customFormat="1" x14ac:dyDescent="0.15">
      <c r="A63" s="1"/>
      <c r="B63" s="1"/>
      <c r="C63" s="5"/>
      <c r="D63" s="4"/>
      <c r="E63" s="5"/>
      <c r="F63" s="6"/>
      <c r="G63" s="6"/>
      <c r="H63" s="7"/>
      <c r="I63" s="6"/>
      <c r="J63" s="8"/>
      <c r="K63" s="9"/>
      <c r="L63" s="10"/>
      <c r="N63" s="11"/>
      <c r="O63" s="82"/>
      <c r="P63" s="82"/>
      <c r="Q63" s="83"/>
      <c r="R63" s="84"/>
      <c r="V63" s="85"/>
      <c r="W63" s="86"/>
      <c r="AB63" s="87"/>
    </row>
    <row r="64" spans="1:28" s="53" customFormat="1" x14ac:dyDescent="0.15">
      <c r="A64" s="1"/>
      <c r="B64" s="1"/>
      <c r="C64" s="5"/>
      <c r="D64" s="4"/>
      <c r="E64" s="5"/>
      <c r="F64" s="6"/>
      <c r="G64" s="6"/>
      <c r="H64" s="7"/>
      <c r="I64" s="6"/>
      <c r="J64" s="8"/>
      <c r="K64" s="9"/>
      <c r="L64" s="10"/>
      <c r="N64" s="11"/>
      <c r="O64" s="82"/>
      <c r="P64" s="82"/>
      <c r="Q64" s="83"/>
      <c r="R64" s="84"/>
      <c r="V64" s="85"/>
      <c r="W64" s="86"/>
      <c r="AB64" s="87"/>
    </row>
    <row r="65" spans="1:28" s="53" customFormat="1" x14ac:dyDescent="0.15">
      <c r="A65" s="1"/>
      <c r="B65" s="1"/>
      <c r="C65" s="5"/>
      <c r="D65" s="4"/>
      <c r="E65" s="5"/>
      <c r="F65" s="6"/>
      <c r="G65" s="6"/>
      <c r="H65" s="7"/>
      <c r="I65" s="6"/>
      <c r="J65" s="8"/>
      <c r="K65" s="9"/>
      <c r="L65" s="10"/>
      <c r="N65" s="11"/>
      <c r="O65" s="82"/>
      <c r="P65" s="82"/>
      <c r="Q65" s="83"/>
      <c r="R65" s="84"/>
      <c r="V65" s="85"/>
      <c r="W65" s="86"/>
      <c r="AB65" s="87"/>
    </row>
    <row r="66" spans="1:28" s="53" customFormat="1" x14ac:dyDescent="0.15">
      <c r="A66" s="1"/>
      <c r="B66" s="1"/>
      <c r="C66" s="5"/>
      <c r="D66" s="4"/>
      <c r="E66" s="5"/>
      <c r="F66" s="6"/>
      <c r="G66" s="6"/>
      <c r="H66" s="7"/>
      <c r="I66" s="6"/>
      <c r="J66" s="8"/>
      <c r="K66" s="9"/>
      <c r="L66" s="10"/>
      <c r="N66" s="11"/>
      <c r="O66" s="82"/>
      <c r="P66" s="82"/>
      <c r="Q66" s="83"/>
      <c r="R66" s="84"/>
      <c r="V66" s="85"/>
      <c r="W66" s="86"/>
      <c r="AB66" s="87"/>
    </row>
    <row r="67" spans="1:28" s="53" customFormat="1" x14ac:dyDescent="0.15">
      <c r="A67" s="1"/>
      <c r="B67" s="1"/>
      <c r="C67" s="5"/>
      <c r="D67" s="4"/>
      <c r="E67" s="5"/>
      <c r="F67" s="6"/>
      <c r="G67" s="6"/>
      <c r="H67" s="7"/>
      <c r="I67" s="6"/>
      <c r="J67" s="8"/>
      <c r="K67" s="9"/>
      <c r="L67" s="10"/>
      <c r="N67" s="11"/>
      <c r="O67" s="82"/>
      <c r="P67" s="82"/>
      <c r="Q67" s="83"/>
      <c r="R67" s="84"/>
      <c r="V67" s="85"/>
      <c r="W67" s="86"/>
      <c r="AB67" s="87"/>
    </row>
    <row r="68" spans="1:28" s="53" customFormat="1" x14ac:dyDescent="0.15">
      <c r="A68" s="1"/>
      <c r="B68" s="1"/>
      <c r="C68" s="5"/>
      <c r="D68" s="4"/>
      <c r="E68" s="5"/>
      <c r="F68" s="6"/>
      <c r="G68" s="6"/>
      <c r="H68" s="7"/>
      <c r="I68" s="6"/>
      <c r="J68" s="8"/>
      <c r="K68" s="9"/>
      <c r="L68" s="10"/>
      <c r="N68" s="11"/>
      <c r="O68" s="82"/>
      <c r="P68" s="82"/>
      <c r="Q68" s="83"/>
      <c r="R68" s="84"/>
      <c r="V68" s="85"/>
      <c r="W68" s="86"/>
      <c r="AB68" s="87"/>
    </row>
    <row r="69" spans="1:28" s="53" customFormat="1" x14ac:dyDescent="0.15">
      <c r="A69" s="1"/>
      <c r="B69" s="1"/>
      <c r="C69" s="5"/>
      <c r="D69" s="4"/>
      <c r="E69" s="5"/>
      <c r="F69" s="6"/>
      <c r="G69" s="6"/>
      <c r="H69" s="7"/>
      <c r="I69" s="6"/>
      <c r="J69" s="8"/>
      <c r="K69" s="9"/>
      <c r="L69" s="10"/>
      <c r="N69" s="11"/>
      <c r="O69" s="82"/>
      <c r="P69" s="82"/>
      <c r="Q69" s="83"/>
      <c r="R69" s="84"/>
      <c r="V69" s="85"/>
      <c r="W69" s="86"/>
      <c r="AB69" s="87"/>
    </row>
    <row r="70" spans="1:28" s="53" customFormat="1" x14ac:dyDescent="0.15">
      <c r="A70" s="1"/>
      <c r="B70" s="1"/>
      <c r="C70" s="5"/>
      <c r="D70" s="4"/>
      <c r="E70" s="5"/>
      <c r="F70" s="6"/>
      <c r="G70" s="6"/>
      <c r="H70" s="7"/>
      <c r="I70" s="6"/>
      <c r="J70" s="8"/>
      <c r="K70" s="9"/>
      <c r="L70" s="10"/>
      <c r="N70" s="11"/>
      <c r="O70" s="82"/>
      <c r="P70" s="82"/>
      <c r="Q70" s="83"/>
      <c r="R70" s="84"/>
      <c r="V70" s="85"/>
      <c r="W70" s="86"/>
      <c r="AB70" s="87"/>
    </row>
    <row r="71" spans="1:28" s="53" customFormat="1" x14ac:dyDescent="0.15">
      <c r="A71" s="1"/>
      <c r="B71" s="1"/>
      <c r="C71" s="5"/>
      <c r="D71" s="4"/>
      <c r="E71" s="5"/>
      <c r="F71" s="6"/>
      <c r="G71" s="6"/>
      <c r="H71" s="7"/>
      <c r="I71" s="6"/>
      <c r="J71" s="8"/>
      <c r="K71" s="9"/>
      <c r="L71" s="10"/>
      <c r="N71" s="11"/>
      <c r="O71" s="82"/>
      <c r="P71" s="82"/>
      <c r="Q71" s="83"/>
      <c r="R71" s="84"/>
      <c r="V71" s="85"/>
      <c r="W71" s="86"/>
      <c r="AB71" s="87"/>
    </row>
    <row r="72" spans="1:28" s="53" customFormat="1" x14ac:dyDescent="0.15">
      <c r="A72" s="1"/>
      <c r="B72" s="1"/>
      <c r="C72" s="5"/>
      <c r="D72" s="4"/>
      <c r="E72" s="5"/>
      <c r="F72" s="6"/>
      <c r="G72" s="6"/>
      <c r="H72" s="7"/>
      <c r="I72" s="6"/>
      <c r="J72" s="8"/>
      <c r="K72" s="9"/>
      <c r="L72" s="10"/>
      <c r="N72" s="11"/>
      <c r="O72" s="82"/>
      <c r="P72" s="82"/>
      <c r="Q72" s="83"/>
      <c r="R72" s="84"/>
      <c r="V72" s="85"/>
      <c r="W72" s="86"/>
      <c r="AB72" s="87"/>
    </row>
    <row r="73" spans="1:28" s="53" customFormat="1" x14ac:dyDescent="0.15">
      <c r="A73" s="1"/>
      <c r="B73" s="1"/>
      <c r="C73" s="5"/>
      <c r="D73" s="4"/>
      <c r="E73" s="5"/>
      <c r="F73" s="6"/>
      <c r="G73" s="6"/>
      <c r="H73" s="7"/>
      <c r="I73" s="6"/>
      <c r="J73" s="8"/>
      <c r="K73" s="9"/>
      <c r="L73" s="10"/>
      <c r="N73" s="11"/>
      <c r="O73" s="82"/>
      <c r="P73" s="82"/>
      <c r="Q73" s="83"/>
      <c r="R73" s="84"/>
      <c r="V73" s="85"/>
      <c r="W73" s="86"/>
      <c r="AB73" s="87"/>
    </row>
    <row r="74" spans="1:28" s="53" customFormat="1" x14ac:dyDescent="0.15">
      <c r="A74" s="1"/>
      <c r="B74" s="1"/>
      <c r="C74" s="5"/>
      <c r="D74" s="4"/>
      <c r="E74" s="5"/>
      <c r="F74" s="6"/>
      <c r="G74" s="6"/>
      <c r="H74" s="7"/>
      <c r="I74" s="6"/>
      <c r="J74" s="8"/>
      <c r="K74" s="9"/>
      <c r="L74" s="10"/>
      <c r="N74" s="11"/>
      <c r="O74" s="82"/>
      <c r="P74" s="82"/>
      <c r="Q74" s="83"/>
      <c r="R74" s="84"/>
      <c r="V74" s="85"/>
      <c r="W74" s="86"/>
      <c r="AB74" s="87"/>
    </row>
    <row r="75" spans="1:28" s="53" customFormat="1" x14ac:dyDescent="0.15">
      <c r="A75" s="1"/>
      <c r="B75" s="1"/>
      <c r="C75" s="5"/>
      <c r="D75" s="4"/>
      <c r="E75" s="5"/>
      <c r="F75" s="6"/>
      <c r="G75" s="6"/>
      <c r="H75" s="7"/>
      <c r="I75" s="6"/>
      <c r="J75" s="8"/>
      <c r="K75" s="9"/>
      <c r="L75" s="10"/>
      <c r="N75" s="11"/>
      <c r="O75" s="82"/>
      <c r="P75" s="82"/>
      <c r="Q75" s="83"/>
      <c r="R75" s="84"/>
      <c r="V75" s="85"/>
      <c r="W75" s="86"/>
      <c r="AB75" s="87"/>
    </row>
    <row r="76" spans="1:28" s="53" customFormat="1" x14ac:dyDescent="0.15">
      <c r="A76" s="1"/>
      <c r="B76" s="1"/>
      <c r="C76" s="5"/>
      <c r="D76" s="4"/>
      <c r="E76" s="5"/>
      <c r="F76" s="6"/>
      <c r="G76" s="6"/>
      <c r="H76" s="7"/>
      <c r="I76" s="6"/>
      <c r="J76" s="8"/>
      <c r="K76" s="9"/>
      <c r="L76" s="10"/>
      <c r="N76" s="11"/>
      <c r="O76" s="82"/>
      <c r="P76" s="82"/>
      <c r="Q76" s="83"/>
      <c r="R76" s="84"/>
      <c r="V76" s="85"/>
      <c r="W76" s="86"/>
      <c r="AB76" s="87"/>
    </row>
    <row r="77" spans="1:28" s="53" customFormat="1" x14ac:dyDescent="0.15">
      <c r="A77" s="1"/>
      <c r="B77" s="1"/>
      <c r="C77" s="5"/>
      <c r="D77" s="4"/>
      <c r="E77" s="5"/>
      <c r="F77" s="6"/>
      <c r="G77" s="6"/>
      <c r="H77" s="7"/>
      <c r="I77" s="6"/>
      <c r="J77" s="8"/>
      <c r="K77" s="9"/>
      <c r="L77" s="10"/>
      <c r="N77" s="11"/>
      <c r="O77" s="82"/>
      <c r="P77" s="82"/>
      <c r="Q77" s="83"/>
      <c r="R77" s="84"/>
      <c r="V77" s="85"/>
      <c r="W77" s="86"/>
      <c r="AB77" s="87"/>
    </row>
    <row r="78" spans="1:28" s="53" customFormat="1" x14ac:dyDescent="0.15">
      <c r="A78" s="1"/>
      <c r="B78" s="1"/>
      <c r="C78" s="5"/>
      <c r="D78" s="4"/>
      <c r="E78" s="5"/>
      <c r="F78" s="6"/>
      <c r="G78" s="6"/>
      <c r="H78" s="7"/>
      <c r="I78" s="6"/>
      <c r="J78" s="8"/>
      <c r="K78" s="9"/>
      <c r="L78" s="10"/>
      <c r="N78" s="11"/>
      <c r="O78" s="82"/>
      <c r="P78" s="82"/>
      <c r="Q78" s="83"/>
      <c r="R78" s="84"/>
      <c r="V78" s="85"/>
      <c r="W78" s="86"/>
      <c r="AB78" s="87"/>
    </row>
    <row r="79" spans="1:28" s="53" customFormat="1" x14ac:dyDescent="0.15">
      <c r="A79" s="1"/>
      <c r="B79" s="1"/>
      <c r="C79" s="5"/>
      <c r="D79" s="4"/>
      <c r="E79" s="5"/>
      <c r="F79" s="6"/>
      <c r="G79" s="6"/>
      <c r="H79" s="7"/>
      <c r="I79" s="6"/>
      <c r="J79" s="8"/>
      <c r="K79" s="9"/>
      <c r="L79" s="10"/>
      <c r="N79" s="11"/>
      <c r="O79" s="82"/>
      <c r="P79" s="82"/>
      <c r="Q79" s="83"/>
      <c r="R79" s="84"/>
      <c r="V79" s="85"/>
      <c r="W79" s="86"/>
      <c r="AB79" s="87"/>
    </row>
    <row r="80" spans="1:28" s="53" customFormat="1" x14ac:dyDescent="0.15">
      <c r="A80" s="1"/>
      <c r="B80" s="1"/>
      <c r="C80" s="5"/>
      <c r="D80" s="4"/>
      <c r="E80" s="5"/>
      <c r="F80" s="6"/>
      <c r="G80" s="6"/>
      <c r="H80" s="7"/>
      <c r="I80" s="6"/>
      <c r="J80" s="8"/>
      <c r="K80" s="9"/>
      <c r="L80" s="10"/>
      <c r="N80" s="11"/>
      <c r="O80" s="82"/>
      <c r="P80" s="82"/>
      <c r="Q80" s="83"/>
      <c r="R80" s="84"/>
      <c r="V80" s="85"/>
      <c r="W80" s="86"/>
      <c r="AB80" s="87"/>
    </row>
    <row r="81" spans="1:28" s="53" customFormat="1" x14ac:dyDescent="0.15">
      <c r="A81" s="1"/>
      <c r="B81" s="1"/>
      <c r="C81" s="5"/>
      <c r="D81" s="4"/>
      <c r="E81" s="5"/>
      <c r="F81" s="6"/>
      <c r="G81" s="6"/>
      <c r="H81" s="7"/>
      <c r="I81" s="6"/>
      <c r="J81" s="8"/>
      <c r="K81" s="9"/>
      <c r="L81" s="10"/>
      <c r="N81" s="11"/>
      <c r="O81" s="82"/>
      <c r="P81" s="82"/>
      <c r="Q81" s="83"/>
      <c r="R81" s="84"/>
      <c r="V81" s="85"/>
      <c r="W81" s="86"/>
      <c r="AB81" s="87"/>
    </row>
    <row r="82" spans="1:28" s="53" customFormat="1" x14ac:dyDescent="0.15">
      <c r="A82" s="1"/>
      <c r="B82" s="1"/>
      <c r="C82" s="5"/>
      <c r="D82" s="4"/>
      <c r="E82" s="5"/>
      <c r="F82" s="6"/>
      <c r="G82" s="6"/>
      <c r="H82" s="7"/>
      <c r="I82" s="6"/>
      <c r="J82" s="8"/>
      <c r="K82" s="9"/>
      <c r="L82" s="10"/>
      <c r="N82" s="11"/>
      <c r="O82" s="82"/>
      <c r="P82" s="82"/>
      <c r="Q82" s="83"/>
      <c r="R82" s="84"/>
      <c r="V82" s="85"/>
      <c r="W82" s="86"/>
      <c r="AB82" s="87"/>
    </row>
    <row r="83" spans="1:28" s="53" customFormat="1" x14ac:dyDescent="0.15">
      <c r="A83" s="1"/>
      <c r="B83" s="1"/>
      <c r="C83" s="5"/>
      <c r="D83" s="4"/>
      <c r="E83" s="5"/>
      <c r="F83" s="6"/>
      <c r="G83" s="6"/>
      <c r="H83" s="7"/>
      <c r="I83" s="6"/>
      <c r="J83" s="8"/>
      <c r="K83" s="9"/>
      <c r="L83" s="10"/>
      <c r="N83" s="11"/>
      <c r="O83" s="82"/>
      <c r="P83" s="82"/>
      <c r="Q83" s="83"/>
      <c r="R83" s="84"/>
      <c r="V83" s="85"/>
      <c r="W83" s="86"/>
      <c r="AB83" s="87"/>
    </row>
    <row r="84" spans="1:28" s="53" customFormat="1" x14ac:dyDescent="0.15">
      <c r="A84" s="1"/>
      <c r="B84" s="1"/>
      <c r="C84" s="5"/>
      <c r="D84" s="4"/>
      <c r="E84" s="5"/>
      <c r="F84" s="6"/>
      <c r="G84" s="6"/>
      <c r="H84" s="7"/>
      <c r="I84" s="6"/>
      <c r="J84" s="8"/>
      <c r="K84" s="9"/>
      <c r="L84" s="10"/>
      <c r="N84" s="11"/>
      <c r="O84" s="82"/>
      <c r="P84" s="82"/>
      <c r="Q84" s="83"/>
      <c r="R84" s="84"/>
      <c r="V84" s="85"/>
      <c r="W84" s="86"/>
      <c r="AB84" s="87"/>
    </row>
    <row r="85" spans="1:28" s="53" customFormat="1" x14ac:dyDescent="0.15">
      <c r="A85" s="1"/>
      <c r="B85" s="1"/>
      <c r="C85" s="5"/>
      <c r="D85" s="4"/>
      <c r="E85" s="5"/>
      <c r="F85" s="6"/>
      <c r="G85" s="6"/>
      <c r="H85" s="7"/>
      <c r="I85" s="6"/>
      <c r="J85" s="8"/>
      <c r="K85" s="9"/>
      <c r="L85" s="10"/>
      <c r="N85" s="11"/>
      <c r="O85" s="82"/>
      <c r="P85" s="82"/>
      <c r="Q85" s="83"/>
      <c r="R85" s="84"/>
      <c r="V85" s="85"/>
      <c r="W85" s="86"/>
      <c r="AB85" s="87"/>
    </row>
    <row r="86" spans="1:28" s="53" customFormat="1" x14ac:dyDescent="0.15">
      <c r="A86" s="1"/>
      <c r="B86" s="1"/>
      <c r="C86" s="5"/>
      <c r="D86" s="4"/>
      <c r="E86" s="5"/>
      <c r="F86" s="6"/>
      <c r="G86" s="6"/>
      <c r="H86" s="7"/>
      <c r="I86" s="6"/>
      <c r="J86" s="8"/>
      <c r="K86" s="9"/>
      <c r="L86" s="10"/>
      <c r="N86" s="11"/>
      <c r="O86" s="82"/>
      <c r="P86" s="82"/>
      <c r="Q86" s="83"/>
      <c r="R86" s="84"/>
      <c r="V86" s="85"/>
      <c r="W86" s="86"/>
      <c r="AB86" s="87"/>
    </row>
    <row r="87" spans="1:28" s="53" customFormat="1" x14ac:dyDescent="0.15">
      <c r="A87" s="1"/>
      <c r="B87" s="1"/>
      <c r="C87" s="5"/>
      <c r="D87" s="4"/>
      <c r="E87" s="5"/>
      <c r="F87" s="6"/>
      <c r="G87" s="6"/>
      <c r="H87" s="7"/>
      <c r="I87" s="6"/>
      <c r="J87" s="8"/>
      <c r="K87" s="9"/>
      <c r="L87" s="10"/>
      <c r="N87" s="11"/>
      <c r="O87" s="82"/>
      <c r="P87" s="82"/>
      <c r="Q87" s="83"/>
      <c r="R87" s="84"/>
      <c r="V87" s="85"/>
      <c r="W87" s="86"/>
      <c r="AB87" s="87"/>
    </row>
    <row r="88" spans="1:28" s="53" customFormat="1" x14ac:dyDescent="0.15">
      <c r="A88" s="1"/>
      <c r="B88" s="1"/>
      <c r="C88" s="5"/>
      <c r="D88" s="4"/>
      <c r="E88" s="5"/>
      <c r="F88" s="6"/>
      <c r="G88" s="6"/>
      <c r="H88" s="7"/>
      <c r="I88" s="6"/>
      <c r="J88" s="8"/>
      <c r="K88" s="9"/>
      <c r="L88" s="10"/>
      <c r="N88" s="11"/>
      <c r="O88" s="82"/>
      <c r="P88" s="82"/>
      <c r="Q88" s="83"/>
      <c r="R88" s="84"/>
      <c r="V88" s="85"/>
      <c r="W88" s="86"/>
      <c r="AB88" s="87"/>
    </row>
    <row r="89" spans="1:28" s="53" customFormat="1" x14ac:dyDescent="0.15">
      <c r="A89" s="1"/>
      <c r="B89" s="1"/>
      <c r="C89" s="5"/>
      <c r="D89" s="4"/>
      <c r="E89" s="5"/>
      <c r="F89" s="6"/>
      <c r="G89" s="6"/>
      <c r="H89" s="7"/>
      <c r="I89" s="6"/>
      <c r="J89" s="8"/>
      <c r="K89" s="9"/>
      <c r="L89" s="10"/>
      <c r="N89" s="11"/>
      <c r="O89" s="82"/>
      <c r="P89" s="82"/>
      <c r="Q89" s="83"/>
      <c r="R89" s="84"/>
      <c r="V89" s="85"/>
      <c r="W89" s="86"/>
      <c r="AB89" s="87"/>
    </row>
    <row r="90" spans="1:28" s="53" customFormat="1" x14ac:dyDescent="0.15">
      <c r="A90" s="1"/>
      <c r="B90" s="1"/>
      <c r="C90" s="5"/>
      <c r="D90" s="4"/>
      <c r="E90" s="5"/>
      <c r="F90" s="6"/>
      <c r="G90" s="6"/>
      <c r="H90" s="7"/>
      <c r="I90" s="6"/>
      <c r="J90" s="8"/>
      <c r="K90" s="9"/>
      <c r="L90" s="10"/>
      <c r="N90" s="11"/>
      <c r="O90" s="82"/>
      <c r="P90" s="82"/>
      <c r="Q90" s="83"/>
      <c r="R90" s="84"/>
      <c r="V90" s="85"/>
      <c r="W90" s="86"/>
      <c r="AB90" s="87"/>
    </row>
    <row r="91" spans="1:28" s="53" customFormat="1" x14ac:dyDescent="0.15">
      <c r="A91" s="1"/>
      <c r="B91" s="1"/>
      <c r="C91" s="5"/>
      <c r="D91" s="4"/>
      <c r="E91" s="5"/>
      <c r="F91" s="6"/>
      <c r="G91" s="6"/>
      <c r="H91" s="7"/>
      <c r="I91" s="6"/>
      <c r="J91" s="8"/>
      <c r="K91" s="9"/>
      <c r="L91" s="10"/>
      <c r="N91" s="11"/>
      <c r="O91" s="82"/>
      <c r="P91" s="82"/>
      <c r="Q91" s="83"/>
      <c r="R91" s="84"/>
      <c r="V91" s="85"/>
      <c r="W91" s="86"/>
      <c r="AB91" s="87"/>
    </row>
    <row r="92" spans="1:28" s="53" customFormat="1" x14ac:dyDescent="0.15">
      <c r="A92" s="1"/>
      <c r="B92" s="1"/>
      <c r="C92" s="5"/>
      <c r="D92" s="4"/>
      <c r="E92" s="5"/>
      <c r="F92" s="6"/>
      <c r="G92" s="6"/>
      <c r="H92" s="7"/>
      <c r="I92" s="6"/>
      <c r="J92" s="8"/>
      <c r="K92" s="9"/>
      <c r="L92" s="10"/>
      <c r="N92" s="11"/>
      <c r="O92" s="82"/>
      <c r="P92" s="82"/>
      <c r="Q92" s="83"/>
      <c r="R92" s="84"/>
      <c r="V92" s="85"/>
      <c r="W92" s="86"/>
      <c r="AB92" s="87"/>
    </row>
    <row r="93" spans="1:28" s="53" customFormat="1" x14ac:dyDescent="0.15">
      <c r="A93" s="1"/>
      <c r="B93" s="1"/>
      <c r="C93" s="5"/>
      <c r="D93" s="4"/>
      <c r="E93" s="5"/>
      <c r="F93" s="6"/>
      <c r="G93" s="6"/>
      <c r="H93" s="7"/>
      <c r="I93" s="6"/>
      <c r="J93" s="8"/>
      <c r="K93" s="9"/>
      <c r="L93" s="10"/>
      <c r="N93" s="11"/>
      <c r="O93" s="82"/>
      <c r="P93" s="82"/>
      <c r="Q93" s="83"/>
      <c r="R93" s="84"/>
      <c r="V93" s="85"/>
      <c r="W93" s="86"/>
      <c r="AB93" s="87"/>
    </row>
    <row r="94" spans="1:28" s="53" customFormat="1" x14ac:dyDescent="0.15">
      <c r="A94" s="1"/>
      <c r="B94" s="1"/>
      <c r="C94" s="5"/>
      <c r="D94" s="4"/>
      <c r="E94" s="5"/>
      <c r="F94" s="6"/>
      <c r="G94" s="6"/>
      <c r="H94" s="7"/>
      <c r="I94" s="6"/>
      <c r="J94" s="8"/>
      <c r="K94" s="9"/>
      <c r="L94" s="10"/>
      <c r="N94" s="11"/>
      <c r="O94" s="82"/>
      <c r="P94" s="82"/>
      <c r="Q94" s="83"/>
      <c r="R94" s="84"/>
      <c r="V94" s="85"/>
      <c r="W94" s="86"/>
      <c r="AB94" s="87"/>
    </row>
    <row r="95" spans="1:28" s="53" customFormat="1" x14ac:dyDescent="0.15">
      <c r="A95" s="1"/>
      <c r="B95" s="1"/>
      <c r="C95" s="5"/>
      <c r="D95" s="4"/>
      <c r="E95" s="5"/>
      <c r="F95" s="6"/>
      <c r="G95" s="6"/>
      <c r="H95" s="7"/>
      <c r="I95" s="6"/>
      <c r="J95" s="8"/>
      <c r="K95" s="9"/>
      <c r="L95" s="10"/>
      <c r="N95" s="11"/>
      <c r="O95" s="82"/>
      <c r="P95" s="82"/>
      <c r="Q95" s="83"/>
      <c r="R95" s="84"/>
      <c r="V95" s="85"/>
      <c r="W95" s="86"/>
      <c r="AB95" s="87"/>
    </row>
    <row r="96" spans="1:28" s="53" customFormat="1" x14ac:dyDescent="0.15">
      <c r="A96" s="1"/>
      <c r="B96" s="1"/>
      <c r="C96" s="5"/>
      <c r="D96" s="4"/>
      <c r="E96" s="5"/>
      <c r="F96" s="6"/>
      <c r="G96" s="6"/>
      <c r="H96" s="7"/>
      <c r="I96" s="6"/>
      <c r="J96" s="8"/>
      <c r="K96" s="9"/>
      <c r="L96" s="10"/>
      <c r="N96" s="11"/>
      <c r="O96" s="82"/>
      <c r="P96" s="82"/>
      <c r="Q96" s="83"/>
      <c r="R96" s="84"/>
      <c r="V96" s="85"/>
      <c r="W96" s="86"/>
      <c r="AB96" s="87"/>
    </row>
    <row r="97" spans="1:28" s="53" customFormat="1" x14ac:dyDescent="0.15">
      <c r="A97" s="1"/>
      <c r="B97" s="1"/>
      <c r="C97" s="5"/>
      <c r="D97" s="4"/>
      <c r="E97" s="5"/>
      <c r="F97" s="6"/>
      <c r="G97" s="6"/>
      <c r="H97" s="7"/>
      <c r="I97" s="6"/>
      <c r="J97" s="8"/>
      <c r="K97" s="9"/>
      <c r="L97" s="10"/>
      <c r="N97" s="11"/>
      <c r="O97" s="82"/>
      <c r="P97" s="82"/>
      <c r="Q97" s="83"/>
      <c r="R97" s="84"/>
      <c r="V97" s="85"/>
      <c r="W97" s="86"/>
      <c r="AB97" s="87"/>
    </row>
    <row r="98" spans="1:28" s="53" customFormat="1" x14ac:dyDescent="0.15">
      <c r="A98" s="1"/>
      <c r="B98" s="1"/>
      <c r="C98" s="5"/>
      <c r="D98" s="4"/>
      <c r="E98" s="5"/>
      <c r="F98" s="6"/>
      <c r="G98" s="6"/>
      <c r="H98" s="7"/>
      <c r="I98" s="6"/>
      <c r="J98" s="8"/>
      <c r="K98" s="9"/>
      <c r="L98" s="10"/>
      <c r="N98" s="11"/>
      <c r="O98" s="82"/>
      <c r="P98" s="82"/>
      <c r="Q98" s="83"/>
      <c r="R98" s="84"/>
      <c r="V98" s="85"/>
      <c r="W98" s="86"/>
      <c r="AB98" s="87"/>
    </row>
    <row r="99" spans="1:28" s="53" customFormat="1" x14ac:dyDescent="0.15">
      <c r="A99" s="1"/>
      <c r="B99" s="1"/>
      <c r="C99" s="5"/>
      <c r="D99" s="4"/>
      <c r="E99" s="5"/>
      <c r="F99" s="6"/>
      <c r="G99" s="6"/>
      <c r="H99" s="7"/>
      <c r="I99" s="6"/>
      <c r="J99" s="8"/>
      <c r="K99" s="9"/>
      <c r="L99" s="10"/>
      <c r="N99" s="11"/>
      <c r="O99" s="82"/>
      <c r="P99" s="82"/>
      <c r="Q99" s="83"/>
      <c r="R99" s="84"/>
      <c r="V99" s="85"/>
      <c r="W99" s="86"/>
      <c r="AB99" s="87"/>
    </row>
    <row r="100" spans="1:28" s="53" customFormat="1" x14ac:dyDescent="0.15">
      <c r="A100" s="1"/>
      <c r="B100" s="1"/>
      <c r="C100" s="5"/>
      <c r="D100" s="4"/>
      <c r="E100" s="5"/>
      <c r="F100" s="6"/>
      <c r="G100" s="6"/>
      <c r="H100" s="7"/>
      <c r="I100" s="6"/>
      <c r="J100" s="8"/>
      <c r="K100" s="9"/>
      <c r="L100" s="10"/>
      <c r="N100" s="11"/>
      <c r="O100" s="82"/>
      <c r="P100" s="82"/>
      <c r="Q100" s="83"/>
      <c r="R100" s="84"/>
      <c r="V100" s="85"/>
      <c r="W100" s="86"/>
      <c r="AB100" s="87"/>
    </row>
    <row r="101" spans="1:28" s="53" customFormat="1" x14ac:dyDescent="0.15">
      <c r="A101" s="1"/>
      <c r="B101" s="1"/>
      <c r="C101" s="5"/>
      <c r="D101" s="4"/>
      <c r="E101" s="5"/>
      <c r="F101" s="6"/>
      <c r="G101" s="6"/>
      <c r="H101" s="7"/>
      <c r="I101" s="6"/>
      <c r="J101" s="8"/>
      <c r="K101" s="9"/>
      <c r="L101" s="10"/>
      <c r="N101" s="11"/>
      <c r="O101" s="82"/>
      <c r="P101" s="82"/>
      <c r="Q101" s="83"/>
      <c r="R101" s="84"/>
      <c r="V101" s="85"/>
      <c r="W101" s="86"/>
      <c r="AB101" s="87"/>
    </row>
    <row r="102" spans="1:28" s="53" customFormat="1" x14ac:dyDescent="0.15">
      <c r="A102" s="1"/>
      <c r="B102" s="1"/>
      <c r="C102" s="5"/>
      <c r="D102" s="4"/>
      <c r="E102" s="5"/>
      <c r="F102" s="6"/>
      <c r="G102" s="6"/>
      <c r="H102" s="7"/>
      <c r="I102" s="6"/>
      <c r="J102" s="8"/>
      <c r="K102" s="9"/>
      <c r="L102" s="10"/>
      <c r="N102" s="11"/>
      <c r="O102" s="82"/>
      <c r="P102" s="82"/>
      <c r="Q102" s="83"/>
      <c r="R102" s="84"/>
      <c r="V102" s="85"/>
      <c r="W102" s="86"/>
      <c r="AB102" s="87"/>
    </row>
    <row r="103" spans="1:28" s="53" customFormat="1" x14ac:dyDescent="0.15">
      <c r="A103" s="1"/>
      <c r="B103" s="1"/>
      <c r="C103" s="5"/>
      <c r="D103" s="4"/>
      <c r="E103" s="5"/>
      <c r="F103" s="6"/>
      <c r="G103" s="6"/>
      <c r="H103" s="7"/>
      <c r="I103" s="6"/>
      <c r="J103" s="8"/>
      <c r="K103" s="9"/>
      <c r="L103" s="10"/>
      <c r="N103" s="11"/>
      <c r="O103" s="82"/>
      <c r="P103" s="82"/>
      <c r="Q103" s="83"/>
      <c r="R103" s="84"/>
      <c r="V103" s="85"/>
      <c r="W103" s="86"/>
      <c r="AB103" s="87"/>
    </row>
    <row r="104" spans="1:28" s="53" customFormat="1" x14ac:dyDescent="0.15">
      <c r="A104" s="1"/>
      <c r="B104" s="1"/>
      <c r="C104" s="5"/>
      <c r="D104" s="4"/>
      <c r="E104" s="5"/>
      <c r="F104" s="6"/>
      <c r="G104" s="6"/>
      <c r="H104" s="7"/>
      <c r="I104" s="6"/>
      <c r="J104" s="8"/>
      <c r="K104" s="9"/>
      <c r="L104" s="10"/>
      <c r="N104" s="11"/>
      <c r="O104" s="82"/>
      <c r="P104" s="82"/>
      <c r="Q104" s="83"/>
      <c r="R104" s="84"/>
      <c r="V104" s="85"/>
      <c r="W104" s="86"/>
      <c r="AB104" s="87"/>
    </row>
    <row r="105" spans="1:28" s="53" customFormat="1" x14ac:dyDescent="0.15">
      <c r="A105" s="1"/>
      <c r="B105" s="1"/>
      <c r="C105" s="5"/>
      <c r="D105" s="4"/>
      <c r="E105" s="5"/>
      <c r="F105" s="6"/>
      <c r="G105" s="6"/>
      <c r="H105" s="7"/>
      <c r="I105" s="6"/>
      <c r="J105" s="8"/>
      <c r="K105" s="9"/>
      <c r="L105" s="10"/>
      <c r="N105" s="11"/>
      <c r="O105" s="82"/>
      <c r="P105" s="82"/>
      <c r="Q105" s="83"/>
      <c r="R105" s="84"/>
      <c r="V105" s="85"/>
      <c r="W105" s="86"/>
      <c r="AB105" s="87"/>
    </row>
    <row r="106" spans="1:28" s="53" customFormat="1" x14ac:dyDescent="0.15">
      <c r="A106" s="1"/>
      <c r="B106" s="1"/>
      <c r="C106" s="5"/>
      <c r="D106" s="4"/>
      <c r="E106" s="5"/>
      <c r="F106" s="6"/>
      <c r="G106" s="6"/>
      <c r="H106" s="7"/>
      <c r="I106" s="6"/>
      <c r="J106" s="8"/>
      <c r="K106" s="9"/>
      <c r="L106" s="10"/>
      <c r="N106" s="11"/>
      <c r="O106" s="82"/>
      <c r="P106" s="82"/>
      <c r="Q106" s="83"/>
      <c r="R106" s="84"/>
      <c r="V106" s="85"/>
      <c r="W106" s="86"/>
      <c r="AB106" s="87"/>
    </row>
    <row r="107" spans="1:28" s="53" customFormat="1" x14ac:dyDescent="0.15">
      <c r="A107" s="1"/>
      <c r="B107" s="1"/>
      <c r="C107" s="5"/>
      <c r="D107" s="4"/>
      <c r="E107" s="5"/>
      <c r="F107" s="6"/>
      <c r="G107" s="6"/>
      <c r="H107" s="7"/>
      <c r="I107" s="6"/>
      <c r="J107" s="8"/>
      <c r="K107" s="9"/>
      <c r="L107" s="10"/>
      <c r="N107" s="11"/>
      <c r="O107" s="82"/>
      <c r="P107" s="82"/>
      <c r="Q107" s="83"/>
      <c r="R107" s="84"/>
      <c r="V107" s="85"/>
      <c r="W107" s="86"/>
      <c r="AB107" s="87"/>
    </row>
    <row r="108" spans="1:28" s="53" customFormat="1" x14ac:dyDescent="0.15">
      <c r="A108" s="1"/>
      <c r="B108" s="1"/>
      <c r="C108" s="5"/>
      <c r="D108" s="4"/>
      <c r="E108" s="5"/>
      <c r="F108" s="6"/>
      <c r="G108" s="6"/>
      <c r="H108" s="7"/>
      <c r="I108" s="6"/>
      <c r="J108" s="8"/>
      <c r="K108" s="9"/>
      <c r="L108" s="10"/>
      <c r="N108" s="11"/>
      <c r="O108" s="82"/>
      <c r="P108" s="82"/>
      <c r="Q108" s="83"/>
      <c r="R108" s="84"/>
      <c r="V108" s="85"/>
      <c r="W108" s="86"/>
      <c r="AB108" s="87"/>
    </row>
    <row r="109" spans="1:28" s="53" customFormat="1" x14ac:dyDescent="0.15">
      <c r="A109" s="1"/>
      <c r="B109" s="1"/>
      <c r="C109" s="5"/>
      <c r="D109" s="4"/>
      <c r="E109" s="5"/>
      <c r="F109" s="6"/>
      <c r="G109" s="6"/>
      <c r="H109" s="7"/>
      <c r="I109" s="6"/>
      <c r="J109" s="8"/>
      <c r="K109" s="9"/>
      <c r="L109" s="10"/>
      <c r="N109" s="11"/>
      <c r="O109" s="82"/>
      <c r="P109" s="82"/>
      <c r="Q109" s="83"/>
      <c r="R109" s="84"/>
      <c r="V109" s="85"/>
      <c r="W109" s="86"/>
      <c r="AB109" s="87"/>
    </row>
    <row r="110" spans="1:28" s="53" customFormat="1" x14ac:dyDescent="0.15">
      <c r="A110" s="1"/>
      <c r="B110" s="1"/>
      <c r="C110" s="5"/>
      <c r="D110" s="4"/>
      <c r="E110" s="5"/>
      <c r="F110" s="6"/>
      <c r="G110" s="6"/>
      <c r="H110" s="7"/>
      <c r="I110" s="6"/>
      <c r="J110" s="8"/>
      <c r="K110" s="9"/>
      <c r="L110" s="10"/>
      <c r="N110" s="11"/>
      <c r="O110" s="82"/>
      <c r="P110" s="82"/>
      <c r="Q110" s="83"/>
      <c r="R110" s="84"/>
      <c r="V110" s="85"/>
      <c r="W110" s="86"/>
      <c r="AB110" s="87"/>
    </row>
    <row r="111" spans="1:28" s="53" customFormat="1" x14ac:dyDescent="0.15">
      <c r="A111" s="1"/>
      <c r="B111" s="1"/>
      <c r="C111" s="5"/>
      <c r="D111" s="4"/>
      <c r="E111" s="5"/>
      <c r="F111" s="6"/>
      <c r="G111" s="6"/>
      <c r="H111" s="7"/>
      <c r="I111" s="6"/>
      <c r="J111" s="8"/>
      <c r="K111" s="9"/>
      <c r="L111" s="10"/>
      <c r="N111" s="11"/>
      <c r="O111" s="82"/>
      <c r="P111" s="82"/>
      <c r="Q111" s="83"/>
      <c r="R111" s="84"/>
      <c r="V111" s="85"/>
      <c r="W111" s="86"/>
      <c r="AB111" s="87"/>
    </row>
    <row r="112" spans="1:28" s="53" customFormat="1" x14ac:dyDescent="0.15">
      <c r="A112" s="1"/>
      <c r="B112" s="1"/>
      <c r="C112" s="5"/>
      <c r="D112" s="4"/>
      <c r="E112" s="5"/>
      <c r="F112" s="6"/>
      <c r="G112" s="6"/>
      <c r="H112" s="7"/>
      <c r="I112" s="6"/>
      <c r="J112" s="8"/>
      <c r="K112" s="9"/>
      <c r="L112" s="10"/>
      <c r="N112" s="11"/>
      <c r="O112" s="82"/>
      <c r="P112" s="82"/>
      <c r="Q112" s="83"/>
      <c r="R112" s="84"/>
      <c r="V112" s="85"/>
      <c r="W112" s="86"/>
      <c r="AB112" s="87"/>
    </row>
    <row r="113" spans="1:28" s="53" customFormat="1" x14ac:dyDescent="0.15">
      <c r="A113" s="1"/>
      <c r="B113" s="1"/>
      <c r="C113" s="5"/>
      <c r="D113" s="4"/>
      <c r="E113" s="5"/>
      <c r="F113" s="6"/>
      <c r="G113" s="6"/>
      <c r="H113" s="7"/>
      <c r="I113" s="6"/>
      <c r="J113" s="8"/>
      <c r="K113" s="9"/>
      <c r="L113" s="10"/>
      <c r="N113" s="11"/>
      <c r="O113" s="82"/>
      <c r="P113" s="82"/>
      <c r="Q113" s="83"/>
      <c r="R113" s="84"/>
      <c r="V113" s="85"/>
      <c r="W113" s="86"/>
      <c r="AB113" s="87"/>
    </row>
    <row r="114" spans="1:28" s="53" customFormat="1" x14ac:dyDescent="0.15">
      <c r="A114" s="1"/>
      <c r="B114" s="1"/>
      <c r="C114" s="5"/>
      <c r="D114" s="4"/>
      <c r="E114" s="5"/>
      <c r="F114" s="6"/>
      <c r="G114" s="6"/>
      <c r="H114" s="7"/>
      <c r="I114" s="6"/>
      <c r="J114" s="8"/>
      <c r="K114" s="9"/>
      <c r="L114" s="10"/>
      <c r="N114" s="11"/>
      <c r="O114" s="82"/>
      <c r="P114" s="82"/>
      <c r="Q114" s="83"/>
      <c r="R114" s="84"/>
      <c r="V114" s="85"/>
      <c r="W114" s="86"/>
      <c r="AB114" s="87"/>
    </row>
    <row r="115" spans="1:28" s="53" customFormat="1" x14ac:dyDescent="0.15">
      <c r="A115" s="1"/>
      <c r="B115" s="1"/>
      <c r="C115" s="5"/>
      <c r="D115" s="4"/>
      <c r="E115" s="5"/>
      <c r="F115" s="6"/>
      <c r="G115" s="6"/>
      <c r="H115" s="7"/>
      <c r="I115" s="6"/>
      <c r="J115" s="8"/>
      <c r="K115" s="9"/>
      <c r="L115" s="10"/>
      <c r="N115" s="11"/>
      <c r="O115" s="82"/>
      <c r="P115" s="82"/>
      <c r="Q115" s="83"/>
      <c r="R115" s="84"/>
      <c r="V115" s="85"/>
      <c r="W115" s="86"/>
      <c r="AB115" s="87"/>
    </row>
    <row r="116" spans="1:28" s="53" customFormat="1" x14ac:dyDescent="0.15">
      <c r="A116" s="1"/>
      <c r="B116" s="1"/>
      <c r="C116" s="5"/>
      <c r="D116" s="4"/>
      <c r="E116" s="5"/>
      <c r="F116" s="6"/>
      <c r="G116" s="6"/>
      <c r="H116" s="7"/>
      <c r="I116" s="6"/>
      <c r="J116" s="8"/>
      <c r="K116" s="9"/>
      <c r="L116" s="10"/>
      <c r="N116" s="11"/>
      <c r="O116" s="82"/>
      <c r="P116" s="82"/>
      <c r="Q116" s="83"/>
      <c r="R116" s="84"/>
      <c r="V116" s="85"/>
      <c r="W116" s="86"/>
      <c r="AB116" s="87"/>
    </row>
    <row r="117" spans="1:28" s="53" customFormat="1" x14ac:dyDescent="0.15">
      <c r="A117" s="1"/>
      <c r="B117" s="1"/>
      <c r="C117" s="5"/>
      <c r="D117" s="4"/>
      <c r="E117" s="5"/>
      <c r="F117" s="6"/>
      <c r="G117" s="6"/>
      <c r="H117" s="7"/>
      <c r="I117" s="6"/>
      <c r="J117" s="8"/>
      <c r="K117" s="9"/>
      <c r="L117" s="10"/>
      <c r="N117" s="11"/>
      <c r="O117" s="82"/>
      <c r="P117" s="82"/>
      <c r="Q117" s="83"/>
      <c r="R117" s="84"/>
      <c r="V117" s="85"/>
      <c r="W117" s="86"/>
      <c r="AB117" s="87"/>
    </row>
    <row r="118" spans="1:28" s="53" customFormat="1" x14ac:dyDescent="0.15">
      <c r="A118" s="1"/>
      <c r="B118" s="1"/>
      <c r="C118" s="5"/>
      <c r="D118" s="4"/>
      <c r="E118" s="5"/>
      <c r="F118" s="6"/>
      <c r="G118" s="6"/>
      <c r="H118" s="7"/>
      <c r="I118" s="6"/>
      <c r="J118" s="8"/>
      <c r="K118" s="9"/>
      <c r="L118" s="10"/>
      <c r="N118" s="11"/>
      <c r="O118" s="82"/>
      <c r="P118" s="82"/>
      <c r="Q118" s="83"/>
      <c r="R118" s="84"/>
      <c r="V118" s="85"/>
      <c r="W118" s="86"/>
      <c r="AB118" s="87"/>
    </row>
    <row r="119" spans="1:28" s="53" customFormat="1" x14ac:dyDescent="0.15">
      <c r="A119" s="1"/>
      <c r="B119" s="1"/>
      <c r="C119" s="5"/>
      <c r="D119" s="4"/>
      <c r="E119" s="5"/>
      <c r="F119" s="6"/>
      <c r="G119" s="6"/>
      <c r="H119" s="7"/>
      <c r="I119" s="6"/>
      <c r="J119" s="8"/>
      <c r="K119" s="9"/>
      <c r="L119" s="10"/>
      <c r="N119" s="11"/>
      <c r="O119" s="82"/>
      <c r="P119" s="82"/>
      <c r="Q119" s="83"/>
      <c r="R119" s="84"/>
      <c r="V119" s="85"/>
      <c r="W119" s="86"/>
      <c r="AB119" s="87"/>
    </row>
    <row r="120" spans="1:28" s="53" customFormat="1" x14ac:dyDescent="0.15">
      <c r="A120" s="1"/>
      <c r="B120" s="1"/>
      <c r="C120" s="5"/>
      <c r="D120" s="4"/>
      <c r="E120" s="5"/>
      <c r="F120" s="6"/>
      <c r="G120" s="6"/>
      <c r="H120" s="7"/>
      <c r="I120" s="6"/>
      <c r="J120" s="8"/>
      <c r="K120" s="9"/>
      <c r="L120" s="10"/>
      <c r="N120" s="11"/>
      <c r="O120" s="82"/>
      <c r="P120" s="82"/>
      <c r="Q120" s="83"/>
      <c r="R120" s="84"/>
      <c r="V120" s="85"/>
      <c r="W120" s="86"/>
      <c r="AB120" s="87"/>
    </row>
    <row r="121" spans="1:28" s="53" customFormat="1" x14ac:dyDescent="0.15">
      <c r="A121" s="1"/>
      <c r="B121" s="1"/>
      <c r="C121" s="5"/>
      <c r="D121" s="4"/>
      <c r="E121" s="5"/>
      <c r="F121" s="6"/>
      <c r="G121" s="6"/>
      <c r="H121" s="7"/>
      <c r="I121" s="6"/>
      <c r="J121" s="8"/>
      <c r="K121" s="9"/>
      <c r="L121" s="10"/>
      <c r="N121" s="11"/>
      <c r="O121" s="82"/>
      <c r="P121" s="82"/>
      <c r="Q121" s="83"/>
      <c r="R121" s="84"/>
      <c r="V121" s="85"/>
      <c r="W121" s="86"/>
      <c r="AB121" s="87"/>
    </row>
    <row r="122" spans="1:28" s="53" customFormat="1" x14ac:dyDescent="0.15">
      <c r="A122" s="1"/>
      <c r="B122" s="1"/>
      <c r="C122" s="5"/>
      <c r="D122" s="4"/>
      <c r="E122" s="5"/>
      <c r="F122" s="6"/>
      <c r="G122" s="6"/>
      <c r="H122" s="7"/>
      <c r="I122" s="6"/>
      <c r="J122" s="8"/>
      <c r="K122" s="9"/>
      <c r="L122" s="10"/>
      <c r="N122" s="11"/>
      <c r="O122" s="82"/>
      <c r="P122" s="82"/>
      <c r="Q122" s="83"/>
      <c r="R122" s="84"/>
      <c r="V122" s="85"/>
      <c r="W122" s="86"/>
      <c r="AB122" s="87"/>
    </row>
    <row r="123" spans="1:28" s="53" customFormat="1" x14ac:dyDescent="0.15">
      <c r="A123" s="1"/>
      <c r="B123" s="1"/>
      <c r="C123" s="5"/>
      <c r="D123" s="4"/>
      <c r="E123" s="5"/>
      <c r="F123" s="6"/>
      <c r="G123" s="6"/>
      <c r="H123" s="7"/>
      <c r="I123" s="6"/>
      <c r="J123" s="8"/>
      <c r="K123" s="9"/>
      <c r="L123" s="10"/>
      <c r="N123" s="11"/>
      <c r="O123" s="82"/>
      <c r="P123" s="82"/>
      <c r="Q123" s="83"/>
      <c r="R123" s="84"/>
      <c r="V123" s="85"/>
      <c r="W123" s="86"/>
      <c r="AB123" s="87"/>
    </row>
    <row r="124" spans="1:28" s="53" customFormat="1" x14ac:dyDescent="0.15">
      <c r="A124" s="1"/>
      <c r="B124" s="1"/>
      <c r="C124" s="5"/>
      <c r="D124" s="4"/>
      <c r="E124" s="5"/>
      <c r="F124" s="6"/>
      <c r="G124" s="6"/>
      <c r="H124" s="7"/>
      <c r="I124" s="6"/>
      <c r="J124" s="8"/>
      <c r="K124" s="9"/>
      <c r="L124" s="10"/>
      <c r="N124" s="11"/>
      <c r="O124" s="82"/>
      <c r="P124" s="82"/>
      <c r="Q124" s="83"/>
      <c r="R124" s="84"/>
      <c r="V124" s="85"/>
      <c r="W124" s="86"/>
      <c r="AB124" s="87"/>
    </row>
    <row r="125" spans="1:28" s="53" customFormat="1" x14ac:dyDescent="0.15">
      <c r="A125" s="1"/>
      <c r="B125" s="1"/>
      <c r="C125" s="5"/>
      <c r="D125" s="4"/>
      <c r="E125" s="5"/>
      <c r="F125" s="6"/>
      <c r="G125" s="6"/>
      <c r="H125" s="7"/>
      <c r="I125" s="6"/>
      <c r="J125" s="8"/>
      <c r="K125" s="9"/>
      <c r="L125" s="10"/>
      <c r="N125" s="11"/>
      <c r="O125" s="82"/>
      <c r="P125" s="82"/>
      <c r="Q125" s="83"/>
      <c r="R125" s="84"/>
      <c r="V125" s="85"/>
      <c r="W125" s="86"/>
      <c r="AB125" s="87"/>
    </row>
    <row r="126" spans="1:28" s="53" customFormat="1" x14ac:dyDescent="0.15">
      <c r="A126" s="1"/>
      <c r="B126" s="1"/>
      <c r="C126" s="5"/>
      <c r="D126" s="4"/>
      <c r="E126" s="5"/>
      <c r="F126" s="6"/>
      <c r="G126" s="6"/>
      <c r="H126" s="7"/>
      <c r="I126" s="6"/>
      <c r="J126" s="8"/>
      <c r="K126" s="9"/>
      <c r="L126" s="10"/>
      <c r="N126" s="11"/>
      <c r="O126" s="82"/>
      <c r="P126" s="82"/>
      <c r="Q126" s="83"/>
      <c r="R126" s="84"/>
      <c r="V126" s="85"/>
      <c r="W126" s="86"/>
      <c r="AB126" s="87"/>
    </row>
    <row r="127" spans="1:28" s="53" customFormat="1" x14ac:dyDescent="0.15">
      <c r="A127" s="1"/>
      <c r="B127" s="1"/>
      <c r="C127" s="5"/>
      <c r="D127" s="4"/>
      <c r="E127" s="5"/>
      <c r="F127" s="6"/>
      <c r="G127" s="6"/>
      <c r="H127" s="7"/>
      <c r="I127" s="6"/>
      <c r="J127" s="8"/>
      <c r="K127" s="9"/>
      <c r="L127" s="10"/>
      <c r="N127" s="11"/>
      <c r="O127" s="82"/>
      <c r="P127" s="82"/>
      <c r="Q127" s="83"/>
      <c r="R127" s="84"/>
      <c r="V127" s="85"/>
      <c r="W127" s="86"/>
      <c r="AB127" s="87"/>
    </row>
    <row r="128" spans="1:28" s="53" customFormat="1" x14ac:dyDescent="0.15">
      <c r="A128" s="1"/>
      <c r="B128" s="1"/>
      <c r="C128" s="5"/>
      <c r="D128" s="4"/>
      <c r="E128" s="5"/>
      <c r="F128" s="6"/>
      <c r="G128" s="6"/>
      <c r="H128" s="7"/>
      <c r="I128" s="6"/>
      <c r="J128" s="8"/>
      <c r="K128" s="9"/>
      <c r="L128" s="10"/>
      <c r="N128" s="11"/>
      <c r="O128" s="82"/>
      <c r="P128" s="82"/>
      <c r="Q128" s="83"/>
      <c r="R128" s="84"/>
      <c r="V128" s="85"/>
      <c r="W128" s="86"/>
      <c r="AB128" s="87"/>
    </row>
    <row r="129" spans="1:28" s="53" customFormat="1" x14ac:dyDescent="0.15">
      <c r="A129" s="1"/>
      <c r="B129" s="1"/>
      <c r="C129" s="5"/>
      <c r="D129" s="4"/>
      <c r="E129" s="5"/>
      <c r="F129" s="6"/>
      <c r="G129" s="6"/>
      <c r="H129" s="7"/>
      <c r="I129" s="6"/>
      <c r="J129" s="8"/>
      <c r="K129" s="9"/>
      <c r="L129" s="10"/>
      <c r="N129" s="11"/>
      <c r="O129" s="82"/>
      <c r="P129" s="82"/>
      <c r="Q129" s="83"/>
      <c r="R129" s="84"/>
      <c r="V129" s="85"/>
      <c r="W129" s="86"/>
      <c r="AB129" s="87"/>
    </row>
    <row r="130" spans="1:28" s="53" customFormat="1" x14ac:dyDescent="0.15">
      <c r="A130" s="1"/>
      <c r="B130" s="1"/>
      <c r="C130" s="5"/>
      <c r="D130" s="4"/>
      <c r="E130" s="5"/>
      <c r="F130" s="6"/>
      <c r="G130" s="6"/>
      <c r="H130" s="7"/>
      <c r="I130" s="6"/>
      <c r="J130" s="8"/>
      <c r="K130" s="9"/>
      <c r="L130" s="10"/>
      <c r="N130" s="11"/>
      <c r="O130" s="82"/>
      <c r="P130" s="82"/>
      <c r="Q130" s="83"/>
      <c r="R130" s="84"/>
      <c r="V130" s="85"/>
      <c r="W130" s="86"/>
      <c r="AB130" s="87"/>
    </row>
    <row r="131" spans="1:28" s="53" customFormat="1" x14ac:dyDescent="0.15">
      <c r="A131" s="1"/>
      <c r="B131" s="1"/>
      <c r="C131" s="5"/>
      <c r="D131" s="4"/>
      <c r="E131" s="5"/>
      <c r="F131" s="6"/>
      <c r="G131" s="6"/>
      <c r="H131" s="7"/>
      <c r="I131" s="6"/>
      <c r="J131" s="8"/>
      <c r="K131" s="9"/>
      <c r="L131" s="10"/>
      <c r="N131" s="11"/>
      <c r="O131" s="82"/>
      <c r="P131" s="82"/>
      <c r="Q131" s="83"/>
      <c r="R131" s="84"/>
      <c r="V131" s="85"/>
      <c r="W131" s="86"/>
      <c r="AB131" s="87"/>
    </row>
    <row r="132" spans="1:28" s="53" customFormat="1" x14ac:dyDescent="0.15">
      <c r="A132" s="1"/>
      <c r="B132" s="1"/>
      <c r="C132" s="5"/>
      <c r="D132" s="4"/>
      <c r="E132" s="5"/>
      <c r="F132" s="6"/>
      <c r="G132" s="6"/>
      <c r="H132" s="7"/>
      <c r="I132" s="6"/>
      <c r="J132" s="8"/>
      <c r="K132" s="9"/>
      <c r="L132" s="10"/>
      <c r="N132" s="11"/>
      <c r="O132" s="82"/>
      <c r="P132" s="82"/>
      <c r="Q132" s="83"/>
      <c r="R132" s="84"/>
      <c r="V132" s="85"/>
      <c r="W132" s="86"/>
      <c r="AB132" s="87"/>
    </row>
    <row r="133" spans="1:28" s="53" customFormat="1" x14ac:dyDescent="0.15">
      <c r="A133" s="1"/>
      <c r="B133" s="1"/>
      <c r="C133" s="5"/>
      <c r="D133" s="4"/>
      <c r="E133" s="5"/>
      <c r="F133" s="6"/>
      <c r="G133" s="6"/>
      <c r="H133" s="7"/>
      <c r="I133" s="6"/>
      <c r="J133" s="8"/>
      <c r="K133" s="9"/>
      <c r="L133" s="10"/>
      <c r="N133" s="11"/>
      <c r="O133" s="82"/>
      <c r="P133" s="82"/>
      <c r="Q133" s="83"/>
      <c r="R133" s="84"/>
      <c r="V133" s="85"/>
      <c r="W133" s="86"/>
      <c r="AB133" s="87"/>
    </row>
    <row r="134" spans="1:28" s="53" customFormat="1" x14ac:dyDescent="0.15">
      <c r="A134" s="1"/>
      <c r="B134" s="1"/>
      <c r="C134" s="5"/>
      <c r="D134" s="4"/>
      <c r="E134" s="5"/>
      <c r="F134" s="6"/>
      <c r="G134" s="6"/>
      <c r="H134" s="7"/>
      <c r="I134" s="6"/>
      <c r="J134" s="8"/>
      <c r="K134" s="9"/>
      <c r="L134" s="10"/>
      <c r="N134" s="11"/>
      <c r="O134" s="82"/>
      <c r="P134" s="82"/>
      <c r="Q134" s="83"/>
      <c r="R134" s="84"/>
      <c r="V134" s="85"/>
      <c r="W134" s="86"/>
      <c r="AB134" s="87"/>
    </row>
    <row r="135" spans="1:28" s="53" customFormat="1" x14ac:dyDescent="0.15">
      <c r="A135" s="1"/>
      <c r="B135" s="1"/>
      <c r="C135" s="5"/>
      <c r="D135" s="4"/>
      <c r="E135" s="5"/>
      <c r="F135" s="6"/>
      <c r="G135" s="6"/>
      <c r="H135" s="7"/>
      <c r="I135" s="6"/>
      <c r="J135" s="8"/>
      <c r="K135" s="9"/>
      <c r="L135" s="10"/>
      <c r="N135" s="11"/>
      <c r="O135" s="82"/>
      <c r="P135" s="82"/>
      <c r="Q135" s="83"/>
      <c r="R135" s="84"/>
      <c r="V135" s="85"/>
      <c r="W135" s="86"/>
      <c r="AB135" s="87"/>
    </row>
    <row r="136" spans="1:28" s="53" customFormat="1" x14ac:dyDescent="0.15">
      <c r="A136" s="1"/>
      <c r="B136" s="1"/>
      <c r="C136" s="5"/>
      <c r="D136" s="4"/>
      <c r="E136" s="5"/>
      <c r="F136" s="6"/>
      <c r="G136" s="6"/>
      <c r="H136" s="7"/>
      <c r="I136" s="6"/>
      <c r="J136" s="8"/>
      <c r="K136" s="9"/>
      <c r="L136" s="10"/>
      <c r="N136" s="11"/>
      <c r="O136" s="82"/>
      <c r="P136" s="82"/>
      <c r="Q136" s="83"/>
      <c r="R136" s="84"/>
      <c r="V136" s="85"/>
      <c r="W136" s="86"/>
      <c r="AB136" s="87"/>
    </row>
    <row r="137" spans="1:28" s="53" customFormat="1" x14ac:dyDescent="0.15">
      <c r="A137" s="1"/>
      <c r="B137" s="1"/>
      <c r="C137" s="5"/>
      <c r="D137" s="4"/>
      <c r="E137" s="5"/>
      <c r="F137" s="6"/>
      <c r="G137" s="6"/>
      <c r="H137" s="7"/>
      <c r="I137" s="6"/>
      <c r="J137" s="8"/>
      <c r="K137" s="9"/>
      <c r="L137" s="10"/>
      <c r="N137" s="11"/>
      <c r="O137" s="82"/>
      <c r="P137" s="82"/>
      <c r="Q137" s="83"/>
      <c r="R137" s="84"/>
      <c r="V137" s="85"/>
      <c r="W137" s="86"/>
      <c r="AB137" s="87"/>
    </row>
    <row r="138" spans="1:28" s="53" customFormat="1" x14ac:dyDescent="0.15">
      <c r="A138" s="1"/>
      <c r="B138" s="1"/>
      <c r="C138" s="5"/>
      <c r="D138" s="4"/>
      <c r="E138" s="5"/>
      <c r="F138" s="6"/>
      <c r="G138" s="6"/>
      <c r="H138" s="7"/>
      <c r="I138" s="6"/>
      <c r="J138" s="8"/>
      <c r="K138" s="9"/>
      <c r="L138" s="10"/>
      <c r="N138" s="11"/>
      <c r="O138" s="82"/>
      <c r="P138" s="82"/>
      <c r="Q138" s="83"/>
      <c r="R138" s="84"/>
      <c r="V138" s="85"/>
      <c r="W138" s="86"/>
      <c r="AB138" s="87"/>
    </row>
    <row r="139" spans="1:28" s="53" customFormat="1" x14ac:dyDescent="0.15">
      <c r="A139" s="1"/>
      <c r="B139" s="1"/>
      <c r="C139" s="5"/>
      <c r="D139" s="4"/>
      <c r="E139" s="5"/>
      <c r="F139" s="6"/>
      <c r="G139" s="6"/>
      <c r="H139" s="7"/>
      <c r="I139" s="6"/>
      <c r="J139" s="8"/>
      <c r="K139" s="9"/>
      <c r="L139" s="10"/>
      <c r="N139" s="11"/>
      <c r="O139" s="82"/>
      <c r="P139" s="82"/>
      <c r="Q139" s="83"/>
      <c r="R139" s="84"/>
      <c r="V139" s="85"/>
      <c r="W139" s="86"/>
      <c r="AB139" s="87"/>
    </row>
    <row r="140" spans="1:28" s="53" customFormat="1" x14ac:dyDescent="0.15">
      <c r="A140" s="1"/>
      <c r="B140" s="1"/>
      <c r="C140" s="5"/>
      <c r="D140" s="4"/>
      <c r="E140" s="5"/>
      <c r="F140" s="6"/>
      <c r="G140" s="6"/>
      <c r="H140" s="7"/>
      <c r="I140" s="6"/>
      <c r="J140" s="8"/>
      <c r="K140" s="9"/>
      <c r="L140" s="10"/>
      <c r="N140" s="11"/>
      <c r="O140" s="82"/>
      <c r="P140" s="82"/>
      <c r="Q140" s="83"/>
      <c r="R140" s="84"/>
      <c r="V140" s="85"/>
      <c r="W140" s="86"/>
      <c r="AB140" s="87"/>
    </row>
    <row r="141" spans="1:28" s="53" customFormat="1" x14ac:dyDescent="0.15">
      <c r="A141" s="1"/>
      <c r="B141" s="1"/>
      <c r="C141" s="5"/>
      <c r="D141" s="4"/>
      <c r="E141" s="5"/>
      <c r="F141" s="6"/>
      <c r="G141" s="6"/>
      <c r="H141" s="7"/>
      <c r="I141" s="6"/>
      <c r="J141" s="8"/>
      <c r="K141" s="9"/>
      <c r="L141" s="10"/>
      <c r="N141" s="11"/>
      <c r="O141" s="82"/>
      <c r="P141" s="82"/>
      <c r="Q141" s="83"/>
      <c r="R141" s="84"/>
      <c r="V141" s="85"/>
      <c r="W141" s="86"/>
      <c r="AB141" s="87"/>
    </row>
    <row r="142" spans="1:28" s="53" customFormat="1" x14ac:dyDescent="0.15">
      <c r="A142" s="1"/>
      <c r="B142" s="1"/>
      <c r="C142" s="5"/>
      <c r="D142" s="4"/>
      <c r="E142" s="5"/>
      <c r="F142" s="6"/>
      <c r="G142" s="6"/>
      <c r="H142" s="7"/>
      <c r="I142" s="6"/>
      <c r="J142" s="8"/>
      <c r="K142" s="9"/>
      <c r="L142" s="10"/>
      <c r="N142" s="11"/>
      <c r="O142" s="82"/>
      <c r="P142" s="82"/>
      <c r="Q142" s="83"/>
      <c r="R142" s="84"/>
      <c r="V142" s="85"/>
      <c r="W142" s="86"/>
      <c r="AB142" s="87"/>
    </row>
    <row r="143" spans="1:28" s="53" customFormat="1" x14ac:dyDescent="0.15">
      <c r="A143" s="1"/>
      <c r="B143" s="1"/>
      <c r="C143" s="5"/>
      <c r="D143" s="4"/>
      <c r="E143" s="5"/>
      <c r="F143" s="6"/>
      <c r="G143" s="6"/>
      <c r="H143" s="7"/>
      <c r="I143" s="6"/>
      <c r="J143" s="8"/>
      <c r="K143" s="9"/>
      <c r="L143" s="10"/>
      <c r="N143" s="11"/>
      <c r="O143" s="82"/>
      <c r="P143" s="82"/>
      <c r="Q143" s="83"/>
      <c r="R143" s="84"/>
      <c r="V143" s="85"/>
      <c r="W143" s="86"/>
      <c r="AB143" s="87"/>
    </row>
    <row r="144" spans="1:28" s="53" customFormat="1" x14ac:dyDescent="0.15">
      <c r="A144" s="1"/>
      <c r="B144" s="1"/>
      <c r="C144" s="5"/>
      <c r="D144" s="4"/>
      <c r="E144" s="5"/>
      <c r="F144" s="6"/>
      <c r="G144" s="6"/>
      <c r="H144" s="7"/>
      <c r="I144" s="6"/>
      <c r="J144" s="8"/>
      <c r="K144" s="9"/>
      <c r="L144" s="10"/>
      <c r="N144" s="11"/>
      <c r="O144" s="82"/>
      <c r="P144" s="82"/>
      <c r="Q144" s="83"/>
      <c r="R144" s="84"/>
      <c r="V144" s="85"/>
      <c r="W144" s="86"/>
      <c r="AB144" s="87"/>
    </row>
    <row r="145" spans="1:28" s="53" customFormat="1" x14ac:dyDescent="0.15">
      <c r="A145" s="1"/>
      <c r="B145" s="1"/>
      <c r="C145" s="5"/>
      <c r="D145" s="4"/>
      <c r="E145" s="5"/>
      <c r="F145" s="6"/>
      <c r="G145" s="6"/>
      <c r="H145" s="7"/>
      <c r="I145" s="6"/>
      <c r="J145" s="8"/>
      <c r="K145" s="9"/>
      <c r="L145" s="10"/>
      <c r="N145" s="11"/>
      <c r="O145" s="82"/>
      <c r="P145" s="82"/>
      <c r="Q145" s="83"/>
      <c r="R145" s="84"/>
      <c r="V145" s="85"/>
      <c r="W145" s="86"/>
      <c r="AB145" s="87"/>
    </row>
    <row r="146" spans="1:28" s="53" customFormat="1" x14ac:dyDescent="0.15">
      <c r="A146" s="1"/>
      <c r="B146" s="1"/>
      <c r="C146" s="5"/>
      <c r="D146" s="4"/>
      <c r="E146" s="5"/>
      <c r="F146" s="6"/>
      <c r="G146" s="6"/>
      <c r="H146" s="7"/>
      <c r="I146" s="6"/>
      <c r="J146" s="8"/>
      <c r="K146" s="9"/>
      <c r="L146" s="10"/>
      <c r="N146" s="11"/>
      <c r="O146" s="82"/>
      <c r="P146" s="82"/>
      <c r="Q146" s="83"/>
      <c r="R146" s="84"/>
      <c r="V146" s="85"/>
      <c r="W146" s="86"/>
      <c r="AB146" s="87"/>
    </row>
    <row r="147" spans="1:28" s="53" customFormat="1" x14ac:dyDescent="0.15">
      <c r="A147" s="1"/>
      <c r="B147" s="1"/>
      <c r="C147" s="5"/>
      <c r="D147" s="4"/>
      <c r="E147" s="5"/>
      <c r="F147" s="6"/>
      <c r="G147" s="6"/>
      <c r="H147" s="7"/>
      <c r="I147" s="6"/>
      <c r="J147" s="8"/>
      <c r="K147" s="9"/>
      <c r="L147" s="10"/>
      <c r="N147" s="11"/>
      <c r="O147" s="82"/>
      <c r="P147" s="82"/>
      <c r="Q147" s="83"/>
      <c r="R147" s="84"/>
      <c r="V147" s="85"/>
      <c r="W147" s="86"/>
      <c r="AB147" s="87"/>
    </row>
    <row r="148" spans="1:28" s="53" customFormat="1" x14ac:dyDescent="0.15">
      <c r="A148" s="1"/>
      <c r="B148" s="1"/>
      <c r="C148" s="5"/>
      <c r="D148" s="4"/>
      <c r="E148" s="5"/>
      <c r="F148" s="6"/>
      <c r="G148" s="6"/>
      <c r="H148" s="7"/>
      <c r="I148" s="6"/>
      <c r="J148" s="8"/>
      <c r="K148" s="9"/>
      <c r="L148" s="10"/>
      <c r="N148" s="11"/>
      <c r="O148" s="82"/>
      <c r="P148" s="82"/>
      <c r="Q148" s="83"/>
      <c r="R148" s="84"/>
      <c r="V148" s="85"/>
      <c r="W148" s="86"/>
      <c r="AB148" s="87"/>
    </row>
    <row r="149" spans="1:28" s="53" customFormat="1" x14ac:dyDescent="0.15">
      <c r="A149" s="1"/>
      <c r="B149" s="1"/>
      <c r="C149" s="5"/>
      <c r="D149" s="4"/>
      <c r="E149" s="5"/>
      <c r="F149" s="6"/>
      <c r="G149" s="6"/>
      <c r="H149" s="7"/>
      <c r="I149" s="6"/>
      <c r="J149" s="8"/>
      <c r="K149" s="9"/>
      <c r="L149" s="10"/>
      <c r="N149" s="11"/>
      <c r="O149" s="82"/>
      <c r="P149" s="82"/>
      <c r="Q149" s="83"/>
      <c r="R149" s="84"/>
      <c r="V149" s="85"/>
      <c r="W149" s="86"/>
      <c r="AB149" s="87"/>
    </row>
    <row r="150" spans="1:28" s="53" customFormat="1" x14ac:dyDescent="0.15">
      <c r="A150" s="1"/>
      <c r="B150" s="1"/>
      <c r="C150" s="5"/>
      <c r="D150" s="4"/>
      <c r="E150" s="5"/>
      <c r="F150" s="6"/>
      <c r="G150" s="6"/>
      <c r="H150" s="7"/>
      <c r="I150" s="6"/>
      <c r="J150" s="8"/>
      <c r="K150" s="9"/>
      <c r="L150" s="10"/>
      <c r="N150" s="11"/>
      <c r="O150" s="82"/>
      <c r="P150" s="82"/>
      <c r="Q150" s="83"/>
      <c r="R150" s="84"/>
      <c r="V150" s="85"/>
      <c r="W150" s="86"/>
      <c r="AB150" s="87"/>
    </row>
    <row r="151" spans="1:28" s="53" customFormat="1" x14ac:dyDescent="0.15">
      <c r="A151" s="1"/>
      <c r="B151" s="1"/>
      <c r="C151" s="5"/>
      <c r="D151" s="4"/>
      <c r="E151" s="5"/>
      <c r="F151" s="6"/>
      <c r="G151" s="6"/>
      <c r="H151" s="7"/>
      <c r="I151" s="6"/>
      <c r="J151" s="8"/>
      <c r="K151" s="9"/>
      <c r="L151" s="10"/>
      <c r="N151" s="11"/>
      <c r="O151" s="82"/>
      <c r="P151" s="82"/>
      <c r="Q151" s="83"/>
      <c r="R151" s="84"/>
      <c r="V151" s="85"/>
      <c r="W151" s="86"/>
      <c r="AB151" s="87"/>
    </row>
    <row r="152" spans="1:28" s="53" customFormat="1" x14ac:dyDescent="0.15">
      <c r="A152" s="1"/>
      <c r="B152" s="1"/>
      <c r="C152" s="5"/>
      <c r="D152" s="4"/>
      <c r="E152" s="5"/>
      <c r="F152" s="6"/>
      <c r="G152" s="6"/>
      <c r="H152" s="7"/>
      <c r="I152" s="6"/>
      <c r="J152" s="8"/>
      <c r="K152" s="9"/>
      <c r="L152" s="10"/>
      <c r="N152" s="11"/>
      <c r="O152" s="82"/>
      <c r="P152" s="82"/>
      <c r="Q152" s="83"/>
      <c r="R152" s="84"/>
      <c r="V152" s="85"/>
      <c r="W152" s="86"/>
      <c r="AB152" s="87"/>
    </row>
    <row r="153" spans="1:28" s="53" customFormat="1" x14ac:dyDescent="0.15">
      <c r="A153" s="1"/>
      <c r="B153" s="1"/>
      <c r="C153" s="5"/>
      <c r="D153" s="4"/>
      <c r="E153" s="5"/>
      <c r="F153" s="6"/>
      <c r="G153" s="6"/>
      <c r="H153" s="7"/>
      <c r="I153" s="6"/>
      <c r="J153" s="8"/>
      <c r="K153" s="9"/>
      <c r="L153" s="10"/>
      <c r="N153" s="11"/>
      <c r="O153" s="82"/>
      <c r="P153" s="82"/>
      <c r="Q153" s="83"/>
      <c r="R153" s="84"/>
      <c r="V153" s="85"/>
      <c r="W153" s="86"/>
      <c r="AB153" s="87"/>
    </row>
    <row r="154" spans="1:28" s="53" customFormat="1" x14ac:dyDescent="0.15">
      <c r="A154" s="1"/>
      <c r="B154" s="1"/>
      <c r="C154" s="5"/>
      <c r="D154" s="4"/>
      <c r="E154" s="5"/>
      <c r="F154" s="6"/>
      <c r="G154" s="6"/>
      <c r="H154" s="7"/>
      <c r="I154" s="6"/>
      <c r="J154" s="8"/>
      <c r="K154" s="9"/>
      <c r="L154" s="10"/>
      <c r="N154" s="11"/>
      <c r="O154" s="82"/>
      <c r="P154" s="82"/>
      <c r="Q154" s="83"/>
      <c r="R154" s="84"/>
      <c r="V154" s="85"/>
      <c r="W154" s="86"/>
      <c r="AB154" s="87"/>
    </row>
    <row r="155" spans="1:28" s="53" customFormat="1" x14ac:dyDescent="0.15">
      <c r="A155" s="1"/>
      <c r="B155" s="1"/>
      <c r="C155" s="5"/>
      <c r="D155" s="4"/>
      <c r="E155" s="5"/>
      <c r="F155" s="6"/>
      <c r="G155" s="6"/>
      <c r="H155" s="7"/>
      <c r="I155" s="6"/>
      <c r="J155" s="8"/>
      <c r="K155" s="9"/>
      <c r="L155" s="10"/>
      <c r="N155" s="11"/>
      <c r="O155" s="82"/>
      <c r="P155" s="82"/>
      <c r="Q155" s="83"/>
      <c r="R155" s="84"/>
      <c r="V155" s="85"/>
      <c r="W155" s="86"/>
      <c r="AB155" s="87"/>
    </row>
    <row r="156" spans="1:28" s="53" customFormat="1" x14ac:dyDescent="0.15">
      <c r="A156" s="1"/>
      <c r="B156" s="1"/>
      <c r="C156" s="5"/>
      <c r="D156" s="4"/>
      <c r="E156" s="5"/>
      <c r="F156" s="6"/>
      <c r="G156" s="6"/>
      <c r="H156" s="7"/>
      <c r="I156" s="6"/>
      <c r="J156" s="8"/>
      <c r="K156" s="9"/>
      <c r="L156" s="10"/>
      <c r="N156" s="11"/>
      <c r="O156" s="82"/>
      <c r="P156" s="82"/>
      <c r="Q156" s="83"/>
      <c r="R156" s="84"/>
      <c r="V156" s="85"/>
      <c r="W156" s="86"/>
      <c r="AB156" s="87"/>
    </row>
    <row r="157" spans="1:28" x14ac:dyDescent="0.15">
      <c r="O157" s="82"/>
      <c r="P157" s="82"/>
      <c r="Q157" s="83"/>
      <c r="R157" s="84"/>
      <c r="U157" s="53"/>
      <c r="V157" s="85"/>
      <c r="W157" s="53"/>
      <c r="X157" s="53"/>
      <c r="Y157" s="53"/>
      <c r="Z157" s="53"/>
      <c r="AA157" s="53"/>
      <c r="AB157" s="87"/>
    </row>
    <row r="158" spans="1:28" x14ac:dyDescent="0.15">
      <c r="O158" s="82"/>
      <c r="P158" s="82"/>
      <c r="Q158" s="83"/>
      <c r="R158" s="84"/>
      <c r="U158" s="53"/>
      <c r="V158" s="60"/>
      <c r="W158" s="53"/>
      <c r="X158" s="53"/>
      <c r="Y158" s="53"/>
      <c r="Z158" s="53"/>
      <c r="AA158" s="53"/>
      <c r="AB158" s="87"/>
    </row>
    <row r="159" spans="1:28" x14ac:dyDescent="0.15">
      <c r="O159" s="82"/>
      <c r="P159" s="82"/>
      <c r="Q159" s="83"/>
      <c r="R159" s="84"/>
      <c r="U159" s="53"/>
      <c r="V159" s="60"/>
      <c r="W159" s="53"/>
      <c r="X159" s="53"/>
      <c r="Y159" s="53"/>
      <c r="Z159" s="53"/>
      <c r="AA159" s="53"/>
      <c r="AB159" s="87"/>
    </row>
    <row r="160" spans="1:28" x14ac:dyDescent="0.15">
      <c r="N160" s="53"/>
      <c r="O160" s="16"/>
      <c r="P160" s="82"/>
      <c r="Q160" s="83"/>
      <c r="R160" s="84"/>
      <c r="U160" s="53"/>
      <c r="V160" s="60"/>
      <c r="W160" s="53"/>
      <c r="X160" s="53"/>
      <c r="Y160" s="53"/>
      <c r="Z160" s="53"/>
      <c r="AA160" s="53"/>
      <c r="AB160" s="87"/>
    </row>
    <row r="161" spans="15:28" x14ac:dyDescent="0.15">
      <c r="O161" s="82"/>
      <c r="P161" s="82"/>
      <c r="Q161" s="83"/>
      <c r="R161" s="84"/>
      <c r="U161" s="53"/>
      <c r="V161" s="60"/>
      <c r="W161" s="53"/>
      <c r="X161" s="53"/>
      <c r="Y161" s="53"/>
      <c r="Z161" s="53"/>
      <c r="AA161" s="53"/>
      <c r="AB161" s="87"/>
    </row>
    <row r="186" spans="16:21" x14ac:dyDescent="0.15">
      <c r="P186" s="108"/>
    </row>
    <row r="188" spans="16:21" x14ac:dyDescent="0.15">
      <c r="Q188" s="108"/>
      <c r="R188" s="1"/>
      <c r="S188" s="1"/>
      <c r="T188" s="1"/>
      <c r="U188" s="1"/>
    </row>
    <row r="189" spans="16:21" x14ac:dyDescent="0.15">
      <c r="Q189" s="16"/>
      <c r="R189" s="109"/>
      <c r="S189" s="109"/>
      <c r="T189" s="109"/>
      <c r="U189" s="1"/>
    </row>
    <row r="190" spans="16:21" x14ac:dyDescent="0.15">
      <c r="Q190" s="16"/>
      <c r="R190" s="109"/>
      <c r="S190" s="109"/>
      <c r="T190" s="5"/>
      <c r="U190" s="1"/>
    </row>
    <row r="191" spans="16:21" x14ac:dyDescent="0.15">
      <c r="Q191" s="16"/>
      <c r="R191" s="109"/>
      <c r="S191" s="109"/>
      <c r="T191" s="109"/>
      <c r="U191" s="1"/>
    </row>
    <row r="192" spans="16:21" x14ac:dyDescent="0.15">
      <c r="Q192" s="16"/>
      <c r="R192" s="109"/>
      <c r="S192" s="109"/>
      <c r="T192" s="109"/>
      <c r="U192" s="1"/>
    </row>
    <row r="193" spans="17:21" x14ac:dyDescent="0.15">
      <c r="Q193" s="16"/>
      <c r="R193" s="109"/>
      <c r="S193" s="109"/>
      <c r="T193" s="5"/>
      <c r="U193" s="1"/>
    </row>
    <row r="194" spans="17:21" x14ac:dyDescent="0.15">
      <c r="Q194" s="110"/>
    </row>
  </sheetData>
  <pageMargins left="0.70000000000000007" right="0.70000000000000007" top="1.1437500000000003" bottom="1.1437500000000003" header="0.75000000000000011" footer="0.75000000000000011"/>
  <pageSetup fitToWidth="0" fitToHeight="0" orientation="portrait" horizontalDpi="4294967293" r:id="rId1"/>
  <headerFooter alignWithMargins="0"/>
  <ignoredErrors>
    <ignoredError sqref="S17 X1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56"/>
  <sheetViews>
    <sheetView tabSelected="1" workbookViewId="0">
      <selection activeCell="G61" sqref="G61"/>
    </sheetView>
  </sheetViews>
  <sheetFormatPr defaultRowHeight="15" x14ac:dyDescent="0.15"/>
  <cols>
    <col min="1" max="1" width="5.125" style="1" customWidth="1"/>
    <col min="2" max="2" width="9.875" style="11" customWidth="1"/>
    <col min="3" max="3" width="5.375" style="11" customWidth="1"/>
    <col min="4" max="4" width="3.75" style="11" customWidth="1"/>
    <col min="5" max="5" width="4.75" style="11" customWidth="1"/>
    <col min="6" max="6" width="5.5" style="11" customWidth="1"/>
    <col min="7" max="7" width="14.75" style="11" customWidth="1"/>
    <col min="8" max="8" width="8.875" style="11" customWidth="1"/>
    <col min="9" max="9" width="7.75" style="11" customWidth="1"/>
    <col min="10" max="10" width="6.875" style="5" customWidth="1"/>
    <col min="11" max="11" width="7.75" style="11" customWidth="1"/>
    <col min="12" max="12" width="6.875" style="11" customWidth="1"/>
    <col min="13" max="13" width="5.875" style="11" customWidth="1"/>
    <col min="14" max="14" width="14.75" style="11" customWidth="1"/>
    <col min="15" max="16" width="7.75" style="11" customWidth="1"/>
    <col min="17" max="17" width="5.75" style="11" bestFit="1" customWidth="1"/>
    <col min="18" max="18" width="10.5" style="11" customWidth="1"/>
    <col min="19" max="19" width="10.875" style="5" customWidth="1"/>
    <col min="20" max="20" width="8.25" style="5" customWidth="1"/>
    <col min="21" max="21" width="43.5" style="11" bestFit="1" customWidth="1"/>
    <col min="22" max="24" width="8" style="11" customWidth="1"/>
    <col min="25" max="25" width="9.625" style="11" customWidth="1"/>
    <col min="26" max="26" width="8.375" style="11" customWidth="1"/>
    <col min="27" max="1024" width="8" style="11" customWidth="1"/>
    <col min="1025" max="1025" width="9" style="11" customWidth="1"/>
    <col min="1026" max="16384" width="9" style="11"/>
  </cols>
  <sheetData>
    <row r="1" spans="1:30" ht="23.25" x14ac:dyDescent="0.15">
      <c r="B1" s="111" t="s">
        <v>98</v>
      </c>
      <c r="C1" s="5"/>
      <c r="D1" s="5"/>
      <c r="E1" s="112"/>
      <c r="F1" s="5"/>
      <c r="G1" s="5"/>
      <c r="H1" s="110"/>
      <c r="I1" s="112"/>
      <c r="J1" s="113"/>
      <c r="K1" s="5"/>
      <c r="L1" s="114"/>
      <c r="M1" s="113"/>
      <c r="N1" s="5"/>
      <c r="O1" s="12"/>
      <c r="P1" s="12"/>
      <c r="Q1" s="115"/>
      <c r="R1" s="7"/>
      <c r="T1" s="6"/>
      <c r="U1" s="7"/>
      <c r="V1" s="10"/>
      <c r="W1" s="20"/>
      <c r="X1" s="68"/>
      <c r="Y1" s="68"/>
      <c r="Z1" s="68"/>
      <c r="AA1" s="12"/>
      <c r="AB1" s="5"/>
      <c r="AC1" s="5"/>
    </row>
    <row r="2" spans="1:30" x14ac:dyDescent="0.15">
      <c r="B2" s="5"/>
      <c r="C2" s="5"/>
      <c r="D2" s="5"/>
      <c r="E2" s="5"/>
      <c r="F2" s="5"/>
      <c r="G2" s="116"/>
      <c r="H2" s="16" t="s">
        <v>99</v>
      </c>
      <c r="I2" s="117"/>
      <c r="J2" s="113"/>
      <c r="K2" s="1"/>
      <c r="M2" s="113"/>
      <c r="N2" s="16" t="s">
        <v>100</v>
      </c>
      <c r="O2" s="118">
        <f>Equity!W17</f>
        <v>2503.8900000000003</v>
      </c>
      <c r="P2" s="12"/>
      <c r="Q2" s="12"/>
      <c r="R2" s="119" t="s">
        <v>76</v>
      </c>
      <c r="S2" s="120">
        <f>O2/O3</f>
        <v>4.8722344379366032</v>
      </c>
      <c r="T2" s="68"/>
      <c r="V2" s="9"/>
      <c r="W2" s="10"/>
      <c r="X2" s="22"/>
      <c r="Y2" s="68"/>
      <c r="Z2" s="68"/>
      <c r="AA2" s="12"/>
      <c r="AB2" s="12"/>
      <c r="AC2" s="5"/>
      <c r="AD2" s="5"/>
    </row>
    <row r="3" spans="1:30" x14ac:dyDescent="0.15">
      <c r="B3" s="5"/>
      <c r="C3" s="5"/>
      <c r="D3" s="5"/>
      <c r="E3" s="5"/>
      <c r="F3" s="5"/>
      <c r="G3" s="116"/>
      <c r="H3" s="16" t="s">
        <v>101</v>
      </c>
      <c r="I3" s="117"/>
      <c r="J3" s="113"/>
      <c r="K3" s="1"/>
      <c r="L3" s="12"/>
      <c r="M3" s="113"/>
      <c r="N3" s="16" t="s">
        <v>102</v>
      </c>
      <c r="O3" s="121">
        <f>Equity!Y17</f>
        <v>513.91000000000008</v>
      </c>
      <c r="P3" s="12"/>
      <c r="Q3" s="12"/>
      <c r="T3" s="68"/>
      <c r="V3" s="9"/>
      <c r="W3" s="10"/>
      <c r="X3" s="22"/>
      <c r="Y3" s="68"/>
      <c r="Z3" s="68"/>
      <c r="AA3" s="12"/>
      <c r="AB3" s="12"/>
      <c r="AC3" s="5"/>
      <c r="AD3" s="5"/>
    </row>
    <row r="4" spans="1:30" x14ac:dyDescent="0.15">
      <c r="B4" s="5"/>
      <c r="C4" s="8"/>
      <c r="D4" s="5"/>
      <c r="E4" s="103"/>
      <c r="F4" s="5"/>
      <c r="G4" s="117"/>
      <c r="H4" s="16"/>
      <c r="I4" s="16" t="s">
        <v>103</v>
      </c>
      <c r="J4" s="122">
        <f>Equity!D3</f>
        <v>45.012000000000079</v>
      </c>
      <c r="K4" s="5"/>
      <c r="L4" s="12"/>
      <c r="M4" s="113"/>
      <c r="N4" s="16" t="s">
        <v>104</v>
      </c>
      <c r="O4" s="123" t="s">
        <v>105</v>
      </c>
      <c r="P4" s="12"/>
      <c r="Q4" s="12"/>
      <c r="R4" s="16" t="s">
        <v>5</v>
      </c>
      <c r="S4" s="124">
        <v>10000</v>
      </c>
      <c r="T4" s="6"/>
      <c r="U4" s="112"/>
      <c r="V4" s="9"/>
      <c r="W4" s="10"/>
      <c r="X4" s="22"/>
      <c r="Y4" s="68"/>
      <c r="Z4" s="68"/>
      <c r="AA4" s="12"/>
      <c r="AB4" s="12"/>
      <c r="AC4" s="5"/>
      <c r="AD4" s="5"/>
    </row>
    <row r="5" spans="1:30" x14ac:dyDescent="0.15">
      <c r="B5" s="5"/>
      <c r="C5" s="5"/>
      <c r="D5" s="5"/>
      <c r="E5" s="5"/>
      <c r="F5" s="5"/>
      <c r="G5" s="125"/>
      <c r="H5" s="110"/>
      <c r="I5" s="360" t="s">
        <v>106</v>
      </c>
      <c r="J5" s="360"/>
      <c r="K5" s="360"/>
      <c r="L5" s="360"/>
      <c r="M5" s="126" t="s">
        <v>107</v>
      </c>
      <c r="N5" s="127"/>
      <c r="O5" s="5"/>
      <c r="P5" s="12"/>
      <c r="Q5" s="128" t="s">
        <v>108</v>
      </c>
      <c r="R5" s="7"/>
      <c r="S5" s="68"/>
      <c r="T5" s="6"/>
      <c r="U5" s="112"/>
      <c r="V5" s="9"/>
      <c r="W5" s="10"/>
      <c r="X5" s="361" t="s">
        <v>109</v>
      </c>
      <c r="Y5" s="361"/>
      <c r="Z5" s="68"/>
      <c r="AA5" s="362" t="s">
        <v>110</v>
      </c>
      <c r="AB5" s="362"/>
      <c r="AC5" s="5"/>
      <c r="AD5" s="5"/>
    </row>
    <row r="6" spans="1:30" s="1" customFormat="1" ht="15.75" thickBot="1" x14ac:dyDescent="0.2">
      <c r="A6" s="24"/>
      <c r="B6" s="34" t="s">
        <v>111</v>
      </c>
      <c r="C6" s="34" t="s">
        <v>112</v>
      </c>
      <c r="D6" s="37" t="s">
        <v>113</v>
      </c>
      <c r="E6" s="36" t="s">
        <v>114</v>
      </c>
      <c r="F6" s="35" t="s">
        <v>115</v>
      </c>
      <c r="G6" s="34" t="s">
        <v>116</v>
      </c>
      <c r="H6" s="34" t="s">
        <v>117</v>
      </c>
      <c r="I6" s="35" t="s">
        <v>118</v>
      </c>
      <c r="J6" s="129" t="s">
        <v>93</v>
      </c>
      <c r="K6" s="34" t="s">
        <v>119</v>
      </c>
      <c r="L6" s="130" t="s">
        <v>93</v>
      </c>
      <c r="M6" s="126" t="s">
        <v>120</v>
      </c>
      <c r="N6" s="36" t="s">
        <v>121</v>
      </c>
      <c r="O6" s="34" t="s">
        <v>121</v>
      </c>
      <c r="P6" s="131" t="s">
        <v>22</v>
      </c>
      <c r="Q6" s="128" t="s">
        <v>120</v>
      </c>
      <c r="R6" s="132" t="s">
        <v>122</v>
      </c>
      <c r="S6" s="133" t="s">
        <v>123</v>
      </c>
      <c r="T6" s="134" t="s">
        <v>124</v>
      </c>
      <c r="U6" s="135" t="s">
        <v>125</v>
      </c>
      <c r="V6" s="136" t="s">
        <v>126</v>
      </c>
      <c r="W6" s="137" t="s">
        <v>127</v>
      </c>
      <c r="X6" s="138" t="s">
        <v>128</v>
      </c>
      <c r="Y6" s="139" t="s">
        <v>27</v>
      </c>
      <c r="Z6" s="140" t="s">
        <v>129</v>
      </c>
      <c r="AA6" s="141" t="s">
        <v>130</v>
      </c>
      <c r="AB6" s="43" t="s">
        <v>8</v>
      </c>
      <c r="AC6" s="142"/>
      <c r="AD6" s="59"/>
    </row>
    <row r="7" spans="1:30" x14ac:dyDescent="0.15">
      <c r="A7" s="1">
        <v>1</v>
      </c>
      <c r="B7" s="143" t="s">
        <v>30</v>
      </c>
      <c r="C7" s="144" t="s">
        <v>131</v>
      </c>
      <c r="D7" s="145" t="s">
        <v>132</v>
      </c>
      <c r="E7" s="145" t="s">
        <v>133</v>
      </c>
      <c r="F7" s="146">
        <v>0.1</v>
      </c>
      <c r="G7" s="147" t="s">
        <v>134</v>
      </c>
      <c r="H7" s="148">
        <v>1.68</v>
      </c>
      <c r="I7" s="149">
        <v>1.6868000000000001</v>
      </c>
      <c r="J7" s="150">
        <f>(I7-H7)*10000</f>
        <v>68.000000000001393</v>
      </c>
      <c r="K7" s="151">
        <v>1.6732</v>
      </c>
      <c r="L7" s="150">
        <f>(H7-K7)*10000</f>
        <v>67.999999999999176</v>
      </c>
      <c r="M7" s="152">
        <f>L7/J7</f>
        <v>0.99999999999996736</v>
      </c>
      <c r="N7" s="147" t="s">
        <v>135</v>
      </c>
      <c r="O7" s="153">
        <v>1.6732</v>
      </c>
      <c r="P7" s="154">
        <f>(H7-O7)*10000</f>
        <v>67.999999999999176</v>
      </c>
      <c r="Q7" s="155">
        <f t="shared" ref="Q7:Q38" si="0">P7/J7</f>
        <v>0.99999999999996736</v>
      </c>
      <c r="R7" s="156">
        <f>45.41</f>
        <v>45.41</v>
      </c>
      <c r="S7" s="157">
        <f>S4+R7</f>
        <v>10045.41</v>
      </c>
      <c r="T7" s="145" t="s">
        <v>136</v>
      </c>
      <c r="U7" s="158"/>
    </row>
    <row r="8" spans="1:30" x14ac:dyDescent="0.15">
      <c r="B8" s="159" t="s">
        <v>30</v>
      </c>
      <c r="C8" s="160"/>
      <c r="D8" s="161"/>
      <c r="E8" s="161"/>
      <c r="F8" s="162">
        <v>0.1</v>
      </c>
      <c r="G8" s="163" t="s">
        <v>134</v>
      </c>
      <c r="H8" s="164">
        <v>1.68</v>
      </c>
      <c r="I8" s="165">
        <v>1.6868000000000001</v>
      </c>
      <c r="J8" s="166">
        <f>(I8-H8)*10000</f>
        <v>68.000000000001393</v>
      </c>
      <c r="K8" s="167" t="s">
        <v>137</v>
      </c>
      <c r="L8" s="168" t="s">
        <v>137</v>
      </c>
      <c r="M8" s="169" t="s">
        <v>137</v>
      </c>
      <c r="N8" s="163" t="s">
        <v>138</v>
      </c>
      <c r="O8" s="170">
        <v>1.6781999999999999</v>
      </c>
      <c r="P8" s="171">
        <f>(H8-O8)*10000</f>
        <v>18.000000000000238</v>
      </c>
      <c r="Q8" s="172">
        <f t="shared" si="0"/>
        <v>0.26470588235293924</v>
      </c>
      <c r="R8" s="173">
        <f>11.91+0.03</f>
        <v>11.94</v>
      </c>
      <c r="S8" s="174">
        <f t="shared" ref="S8:S39" si="1">S7+R8</f>
        <v>10057.35</v>
      </c>
      <c r="T8" s="175"/>
      <c r="U8" s="176"/>
    </row>
    <row r="9" spans="1:30" x14ac:dyDescent="0.15">
      <c r="A9" s="1">
        <v>2</v>
      </c>
      <c r="B9" s="177" t="s">
        <v>33</v>
      </c>
      <c r="C9" s="178" t="s">
        <v>139</v>
      </c>
      <c r="D9" s="179" t="s">
        <v>140</v>
      </c>
      <c r="E9" s="178" t="s">
        <v>141</v>
      </c>
      <c r="F9" s="180">
        <v>0.1</v>
      </c>
      <c r="G9" s="181" t="s">
        <v>142</v>
      </c>
      <c r="H9" s="182">
        <v>1.3051200000000001</v>
      </c>
      <c r="I9" s="183">
        <v>1.302</v>
      </c>
      <c r="J9" s="184">
        <f>(H9-I9)*10000</f>
        <v>31.200000000000117</v>
      </c>
      <c r="K9" s="178">
        <v>1.3083</v>
      </c>
      <c r="L9" s="185">
        <f>(K9-H9)*10000</f>
        <v>31.799999999999606</v>
      </c>
      <c r="M9" s="184">
        <f>L9/J9</f>
        <v>1.0192307692307527</v>
      </c>
      <c r="N9" s="181" t="s">
        <v>142</v>
      </c>
      <c r="O9" s="186">
        <v>1.3063499999999999</v>
      </c>
      <c r="P9" s="187">
        <f>(O9-H9)*10000</f>
        <v>12.299999999998423</v>
      </c>
      <c r="Q9" s="188">
        <f t="shared" si="0"/>
        <v>0.3942307692307172</v>
      </c>
      <c r="R9" s="189">
        <f>3.22+-0.29+9.42+-0.29</f>
        <v>12.06</v>
      </c>
      <c r="S9" s="174">
        <f t="shared" si="1"/>
        <v>10069.41</v>
      </c>
      <c r="T9" s="190" t="s">
        <v>136</v>
      </c>
      <c r="U9" s="191"/>
    </row>
    <row r="10" spans="1:30" x14ac:dyDescent="0.15">
      <c r="B10" s="159" t="s">
        <v>33</v>
      </c>
      <c r="C10" s="160"/>
      <c r="D10" s="161"/>
      <c r="E10" s="160"/>
      <c r="F10" s="192">
        <v>0.1</v>
      </c>
      <c r="G10" s="163" t="s">
        <v>142</v>
      </c>
      <c r="H10" s="164">
        <v>1.3051200000000001</v>
      </c>
      <c r="I10" s="165">
        <v>1.302</v>
      </c>
      <c r="J10" s="166">
        <f>(H10-I10)*10000</f>
        <v>31.200000000000117</v>
      </c>
      <c r="K10" s="160" t="s">
        <v>137</v>
      </c>
      <c r="L10" s="171" t="s">
        <v>137</v>
      </c>
      <c r="M10" s="166" t="s">
        <v>137</v>
      </c>
      <c r="N10" s="163" t="s">
        <v>142</v>
      </c>
      <c r="O10" s="193">
        <v>1.30627</v>
      </c>
      <c r="P10" s="171">
        <f>(O10-H10)*10000</f>
        <v>11.499999999999844</v>
      </c>
      <c r="Q10" s="172">
        <f t="shared" si="0"/>
        <v>0.36858974358973723</v>
      </c>
      <c r="R10" s="173">
        <f>2.76+-0.29+8.8+-0.29</f>
        <v>10.98</v>
      </c>
      <c r="S10" s="174">
        <f t="shared" si="1"/>
        <v>10080.39</v>
      </c>
      <c r="T10" s="175"/>
      <c r="U10" s="176"/>
    </row>
    <row r="11" spans="1:30" x14ac:dyDescent="0.15">
      <c r="A11" s="1">
        <v>3</v>
      </c>
      <c r="B11" s="194" t="s">
        <v>36</v>
      </c>
      <c r="C11" s="54" t="s">
        <v>131</v>
      </c>
      <c r="D11" s="190" t="s">
        <v>132</v>
      </c>
      <c r="E11" s="54" t="s">
        <v>133</v>
      </c>
      <c r="F11" s="195">
        <v>0.1</v>
      </c>
      <c r="G11" s="181" t="s">
        <v>143</v>
      </c>
      <c r="H11" s="196">
        <v>1.45499</v>
      </c>
      <c r="I11" s="197">
        <v>1.4585999999999999</v>
      </c>
      <c r="J11" s="198">
        <f>(I11-H11)*10000</f>
        <v>36.099999999998914</v>
      </c>
      <c r="K11" s="199">
        <v>1.4513</v>
      </c>
      <c r="L11" s="198">
        <f>(H11-K11)*10000</f>
        <v>36.899999999999707</v>
      </c>
      <c r="M11" s="200">
        <f>L11/J11</f>
        <v>1.0221606648199673</v>
      </c>
      <c r="N11" s="181" t="s">
        <v>144</v>
      </c>
      <c r="O11" s="199">
        <v>1.45347</v>
      </c>
      <c r="P11" s="201">
        <f>(H11-O11)*10000</f>
        <v>15.199999999999658</v>
      </c>
      <c r="Q11" s="188">
        <f t="shared" si="0"/>
        <v>0.42105263157895056</v>
      </c>
      <c r="R11" s="202">
        <f>11.65+0.93</f>
        <v>12.58</v>
      </c>
      <c r="S11" s="174">
        <f t="shared" si="1"/>
        <v>10092.969999999999</v>
      </c>
      <c r="T11" s="190" t="s">
        <v>136</v>
      </c>
      <c r="U11" s="191"/>
    </row>
    <row r="12" spans="1:30" x14ac:dyDescent="0.15">
      <c r="B12" s="159" t="s">
        <v>36</v>
      </c>
      <c r="C12" s="160"/>
      <c r="D12" s="161"/>
      <c r="E12" s="160"/>
      <c r="F12" s="192">
        <v>0.1</v>
      </c>
      <c r="G12" s="163" t="s">
        <v>143</v>
      </c>
      <c r="H12" s="164">
        <v>1.4550000000000001</v>
      </c>
      <c r="I12" s="165">
        <v>1.4585999999999999</v>
      </c>
      <c r="J12" s="166">
        <f>(I12-H12)*10000</f>
        <v>35.999999999998252</v>
      </c>
      <c r="K12" s="167" t="s">
        <v>137</v>
      </c>
      <c r="L12" s="168" t="s">
        <v>137</v>
      </c>
      <c r="M12" s="169" t="s">
        <v>137</v>
      </c>
      <c r="N12" s="163" t="s">
        <v>144</v>
      </c>
      <c r="O12" s="167">
        <v>1.45347</v>
      </c>
      <c r="P12" s="171">
        <f>(H12-O12)*10000</f>
        <v>15.300000000000313</v>
      </c>
      <c r="Q12" s="172">
        <f t="shared" si="0"/>
        <v>0.42500000000002935</v>
      </c>
      <c r="R12" s="173">
        <f>11.73+0.93</f>
        <v>12.66</v>
      </c>
      <c r="S12" s="174">
        <f t="shared" si="1"/>
        <v>10105.629999999999</v>
      </c>
      <c r="T12" s="175"/>
      <c r="U12" s="176"/>
    </row>
    <row r="13" spans="1:30" x14ac:dyDescent="0.15">
      <c r="A13" s="76">
        <v>4</v>
      </c>
      <c r="B13" s="177" t="s">
        <v>39</v>
      </c>
      <c r="C13" s="178" t="s">
        <v>131</v>
      </c>
      <c r="D13" s="178" t="s">
        <v>132</v>
      </c>
      <c r="E13" s="180" t="s">
        <v>145</v>
      </c>
      <c r="F13" s="178">
        <v>0.1</v>
      </c>
      <c r="G13" s="181" t="s">
        <v>146</v>
      </c>
      <c r="H13" s="203">
        <v>1.88825</v>
      </c>
      <c r="I13" s="204">
        <v>1.8964000000000001</v>
      </c>
      <c r="J13" s="184">
        <f>(I13-H13)*10000</f>
        <v>81.500000000001023</v>
      </c>
      <c r="K13" s="186">
        <v>1.88</v>
      </c>
      <c r="L13" s="184">
        <f>(H13-K13)*10000</f>
        <v>82.500000000000909</v>
      </c>
      <c r="M13" s="205">
        <f>L13/J13</f>
        <v>1.0122699386503051</v>
      </c>
      <c r="N13" s="181" t="s">
        <v>147</v>
      </c>
      <c r="O13" s="203">
        <v>1.8964000000000001</v>
      </c>
      <c r="P13" s="201">
        <f>(H13-O13)*10000</f>
        <v>-81.500000000001023</v>
      </c>
      <c r="Q13" s="188">
        <f t="shared" si="0"/>
        <v>-1</v>
      </c>
      <c r="R13" s="189">
        <f>-56.2</f>
        <v>-56.2</v>
      </c>
      <c r="S13" s="174">
        <f t="shared" si="1"/>
        <v>10049.429999999998</v>
      </c>
      <c r="T13" s="190" t="s">
        <v>136</v>
      </c>
      <c r="U13" s="191"/>
    </row>
    <row r="14" spans="1:30" x14ac:dyDescent="0.15">
      <c r="B14" s="159" t="s">
        <v>39</v>
      </c>
      <c r="C14" s="160"/>
      <c r="D14" s="160"/>
      <c r="E14" s="192"/>
      <c r="F14" s="160">
        <v>0.1</v>
      </c>
      <c r="G14" s="163" t="s">
        <v>146</v>
      </c>
      <c r="H14" s="206">
        <v>1.88825</v>
      </c>
      <c r="I14" s="207">
        <v>1.8964000000000001</v>
      </c>
      <c r="J14" s="166">
        <f>(I14-H14)*10000</f>
        <v>81.500000000001023</v>
      </c>
      <c r="K14" s="193" t="s">
        <v>137</v>
      </c>
      <c r="L14" s="171" t="s">
        <v>137</v>
      </c>
      <c r="M14" s="192" t="s">
        <v>137</v>
      </c>
      <c r="N14" s="163" t="s">
        <v>147</v>
      </c>
      <c r="O14" s="206">
        <v>1.8964000000000001</v>
      </c>
      <c r="P14" s="171">
        <f>(H14-O14)*10000</f>
        <v>-81.500000000001023</v>
      </c>
      <c r="Q14" s="172">
        <f t="shared" si="0"/>
        <v>-1</v>
      </c>
      <c r="R14" s="173">
        <f>-56.2</f>
        <v>-56.2</v>
      </c>
      <c r="S14" s="174">
        <f t="shared" si="1"/>
        <v>9993.2299999999977</v>
      </c>
      <c r="T14" s="175"/>
      <c r="U14" s="176"/>
    </row>
    <row r="15" spans="1:30" x14ac:dyDescent="0.15">
      <c r="A15" s="1">
        <v>5</v>
      </c>
      <c r="B15" s="177" t="s">
        <v>42</v>
      </c>
      <c r="C15" s="178" t="s">
        <v>139</v>
      </c>
      <c r="D15" s="179" t="s">
        <v>140</v>
      </c>
      <c r="E15" s="178" t="s">
        <v>141</v>
      </c>
      <c r="F15" s="180">
        <v>0.1</v>
      </c>
      <c r="G15" s="181" t="s">
        <v>148</v>
      </c>
      <c r="H15" s="182">
        <v>1.2992900000000001</v>
      </c>
      <c r="I15" s="183">
        <v>1.2943</v>
      </c>
      <c r="J15" s="184">
        <f>(H15-I15)*10000</f>
        <v>49.900000000000503</v>
      </c>
      <c r="K15" s="178">
        <v>1.3044</v>
      </c>
      <c r="L15" s="185">
        <f>(K15-H15)*10000</f>
        <v>51.099999999999483</v>
      </c>
      <c r="M15" s="184">
        <f>L15/J15</f>
        <v>1.0240480961923641</v>
      </c>
      <c r="N15" s="181" t="s">
        <v>149</v>
      </c>
      <c r="O15" s="186">
        <v>1.3044</v>
      </c>
      <c r="P15" s="187">
        <f>(O15-H15)*10000</f>
        <v>51.099999999999483</v>
      </c>
      <c r="Q15" s="188">
        <f t="shared" si="0"/>
        <v>1.0240480961923641</v>
      </c>
      <c r="R15" s="189">
        <f>47.01+-0.89</f>
        <v>46.12</v>
      </c>
      <c r="S15" s="174">
        <f t="shared" si="1"/>
        <v>10039.349999999999</v>
      </c>
      <c r="T15" s="190" t="s">
        <v>136</v>
      </c>
      <c r="U15" s="191"/>
    </row>
    <row r="16" spans="1:30" x14ac:dyDescent="0.15">
      <c r="B16" s="159" t="s">
        <v>42</v>
      </c>
      <c r="C16" s="160"/>
      <c r="D16" s="161"/>
      <c r="E16" s="160"/>
      <c r="F16" s="192">
        <v>0.1</v>
      </c>
      <c r="G16" s="163" t="s">
        <v>148</v>
      </c>
      <c r="H16" s="164">
        <v>1.2992999999999999</v>
      </c>
      <c r="I16" s="165">
        <v>1.2943</v>
      </c>
      <c r="J16" s="166">
        <f>(H16-I16)*10000</f>
        <v>49.999999999998934</v>
      </c>
      <c r="K16" s="160" t="s">
        <v>137</v>
      </c>
      <c r="L16" s="171" t="s">
        <v>137</v>
      </c>
      <c r="M16" s="166" t="s">
        <v>137</v>
      </c>
      <c r="N16" s="163" t="s">
        <v>150</v>
      </c>
      <c r="O16" s="193">
        <v>1.3092999999999999</v>
      </c>
      <c r="P16" s="171">
        <f>(O16-H16)*10000</f>
        <v>100.00000000000009</v>
      </c>
      <c r="Q16" s="208">
        <f t="shared" si="0"/>
        <v>2.0000000000000444</v>
      </c>
      <c r="R16" s="173">
        <f>92+-5.34</f>
        <v>86.66</v>
      </c>
      <c r="S16" s="174">
        <f t="shared" si="1"/>
        <v>10126.009999999998</v>
      </c>
      <c r="T16" s="161" t="s">
        <v>151</v>
      </c>
      <c r="U16" s="176"/>
    </row>
    <row r="17" spans="1:21" x14ac:dyDescent="0.15">
      <c r="A17" s="1">
        <v>6</v>
      </c>
      <c r="B17" s="209" t="s">
        <v>45</v>
      </c>
      <c r="C17" s="54" t="s">
        <v>139</v>
      </c>
      <c r="D17" s="190" t="s">
        <v>140</v>
      </c>
      <c r="E17" s="190" t="s">
        <v>133</v>
      </c>
      <c r="F17" s="195">
        <v>0.1</v>
      </c>
      <c r="G17" s="181" t="s">
        <v>152</v>
      </c>
      <c r="H17" s="210">
        <v>0.65915000000000001</v>
      </c>
      <c r="I17" s="211">
        <v>0.65700000000000003</v>
      </c>
      <c r="J17" s="198">
        <f>(H17-I17)*10000</f>
        <v>21.499999999999851</v>
      </c>
      <c r="K17" s="199">
        <v>0.66139999999999999</v>
      </c>
      <c r="L17" s="212">
        <f>(K17-H17)*10000</f>
        <v>22.499999999999744</v>
      </c>
      <c r="M17" s="213">
        <f>L17/J17</f>
        <v>1.0465116279069722</v>
      </c>
      <c r="N17" s="181" t="s">
        <v>153</v>
      </c>
      <c r="O17" s="199">
        <v>0.66215999999999997</v>
      </c>
      <c r="P17" s="187">
        <f>(O17-H17)*10000</f>
        <v>30.099999999999572</v>
      </c>
      <c r="Q17" s="188">
        <f t="shared" si="0"/>
        <v>1.3999999999999897</v>
      </c>
      <c r="R17" s="202">
        <f>30.1+-0.81+0.3</f>
        <v>29.590000000000003</v>
      </c>
      <c r="S17" s="174">
        <f t="shared" si="1"/>
        <v>10155.599999999999</v>
      </c>
      <c r="T17" s="190" t="s">
        <v>136</v>
      </c>
      <c r="U17" s="191"/>
    </row>
    <row r="18" spans="1:21" x14ac:dyDescent="0.15">
      <c r="B18" s="214" t="s">
        <v>45</v>
      </c>
      <c r="C18" s="160"/>
      <c r="D18" s="161"/>
      <c r="E18" s="175"/>
      <c r="F18" s="192">
        <v>0.1</v>
      </c>
      <c r="G18" s="163" t="s">
        <v>152</v>
      </c>
      <c r="H18" s="215">
        <v>0.65915000000000001</v>
      </c>
      <c r="I18" s="216">
        <v>0.65700000000000003</v>
      </c>
      <c r="J18" s="166">
        <f>(H18-I18)*10000</f>
        <v>21.499999999999851</v>
      </c>
      <c r="K18" s="160" t="s">
        <v>137</v>
      </c>
      <c r="L18" s="161" t="s">
        <v>137</v>
      </c>
      <c r="M18" s="217" t="s">
        <v>137</v>
      </c>
      <c r="N18" s="163" t="s">
        <v>154</v>
      </c>
      <c r="O18" s="218">
        <v>0.65817999999999999</v>
      </c>
      <c r="P18" s="171">
        <f>(O18-H18)*10000</f>
        <v>-9.700000000000264</v>
      </c>
      <c r="Q18" s="172">
        <f t="shared" si="0"/>
        <v>-0.45116279069768983</v>
      </c>
      <c r="R18" s="173">
        <f>-9.7+-1.31</f>
        <v>-11.01</v>
      </c>
      <c r="S18" s="174">
        <f t="shared" si="1"/>
        <v>10144.589999999998</v>
      </c>
      <c r="T18" s="161" t="s">
        <v>151</v>
      </c>
      <c r="U18" s="176"/>
    </row>
    <row r="19" spans="1:21" x14ac:dyDescent="0.15">
      <c r="A19" s="1">
        <v>7</v>
      </c>
      <c r="B19" s="194" t="s">
        <v>48</v>
      </c>
      <c r="C19" s="54" t="s">
        <v>131</v>
      </c>
      <c r="D19" s="190" t="s">
        <v>132</v>
      </c>
      <c r="E19" s="190" t="s">
        <v>145</v>
      </c>
      <c r="F19" s="219">
        <v>0.05</v>
      </c>
      <c r="G19" s="181" t="s">
        <v>155</v>
      </c>
      <c r="H19" s="196">
        <v>1.9912799999999999</v>
      </c>
      <c r="I19" s="197">
        <v>2.0009999999999999</v>
      </c>
      <c r="J19" s="198">
        <f>(I19-H19)*10000</f>
        <v>97.199999999999505</v>
      </c>
      <c r="K19" s="199">
        <v>1.9815</v>
      </c>
      <c r="L19" s="198">
        <f>(H19-K19)*10000</f>
        <v>97.799999999999002</v>
      </c>
      <c r="M19" s="200">
        <f>L19/J19</f>
        <v>1.0061728395061678</v>
      </c>
      <c r="N19" s="181" t="s">
        <v>156</v>
      </c>
      <c r="O19" s="220">
        <v>1.9814799999999999</v>
      </c>
      <c r="P19" s="201">
        <f>(H19-O19)*10000</f>
        <v>98.000000000000313</v>
      </c>
      <c r="Q19" s="188">
        <f t="shared" si="0"/>
        <v>1.0082304526749055</v>
      </c>
      <c r="R19" s="202">
        <f>32.46+-0.18</f>
        <v>32.28</v>
      </c>
      <c r="S19" s="174">
        <f t="shared" si="1"/>
        <v>10176.869999999999</v>
      </c>
      <c r="T19" s="190" t="s">
        <v>136</v>
      </c>
      <c r="U19" s="191"/>
    </row>
    <row r="20" spans="1:21" x14ac:dyDescent="0.15">
      <c r="B20" s="159" t="s">
        <v>48</v>
      </c>
      <c r="C20" s="160"/>
      <c r="D20" s="161"/>
      <c r="E20" s="161"/>
      <c r="F20" s="162">
        <v>0.05</v>
      </c>
      <c r="G20" s="163" t="s">
        <v>155</v>
      </c>
      <c r="H20" s="164">
        <v>1.9912799999999999</v>
      </c>
      <c r="I20" s="165">
        <v>2.0009999999999999</v>
      </c>
      <c r="J20" s="166">
        <f>(I20-H20)*10000</f>
        <v>97.199999999999505</v>
      </c>
      <c r="K20" s="167" t="s">
        <v>137</v>
      </c>
      <c r="L20" s="168" t="s">
        <v>137</v>
      </c>
      <c r="M20" s="169" t="s">
        <v>137</v>
      </c>
      <c r="N20" s="163" t="s">
        <v>154</v>
      </c>
      <c r="O20" s="170">
        <v>1.9851700000000001</v>
      </c>
      <c r="P20" s="171">
        <f>(H20-O20)*10000</f>
        <v>61.099999999998374</v>
      </c>
      <c r="Q20" s="172">
        <f t="shared" si="0"/>
        <v>0.628600823045254</v>
      </c>
      <c r="R20" s="173">
        <f>20.12+-0.32</f>
        <v>19.8</v>
      </c>
      <c r="S20" s="174">
        <f t="shared" si="1"/>
        <v>10196.669999999998</v>
      </c>
      <c r="T20" s="175"/>
      <c r="U20" s="176"/>
    </row>
    <row r="21" spans="1:21" x14ac:dyDescent="0.15">
      <c r="A21" s="76">
        <v>8</v>
      </c>
      <c r="B21" s="177" t="s">
        <v>51</v>
      </c>
      <c r="C21" s="178" t="s">
        <v>139</v>
      </c>
      <c r="D21" s="179" t="s">
        <v>132</v>
      </c>
      <c r="E21" s="178" t="s">
        <v>145</v>
      </c>
      <c r="F21" s="180">
        <v>0.1</v>
      </c>
      <c r="G21" s="181" t="s">
        <v>157</v>
      </c>
      <c r="H21" s="182">
        <v>1.1091800000000001</v>
      </c>
      <c r="I21" s="183">
        <v>1.1063000000000001</v>
      </c>
      <c r="J21" s="184">
        <f>(H21-I21)*10000</f>
        <v>28.799999999999937</v>
      </c>
      <c r="K21" s="178">
        <v>1.1121000000000001</v>
      </c>
      <c r="L21" s="185">
        <f>(K21-H21)*10000</f>
        <v>29.200000000000337</v>
      </c>
      <c r="M21" s="184">
        <f>L21/J21</f>
        <v>1.0138888888889028</v>
      </c>
      <c r="N21" s="181" t="s">
        <v>158</v>
      </c>
      <c r="O21" s="186">
        <v>1.10625</v>
      </c>
      <c r="P21" s="187">
        <f>(O21-H21)*10000</f>
        <v>-29.300000000000992</v>
      </c>
      <c r="Q21" s="188">
        <f t="shared" si="0"/>
        <v>-1.0173611111111478</v>
      </c>
      <c r="R21" s="189">
        <f>-29.3</f>
        <v>-29.3</v>
      </c>
      <c r="S21" s="174">
        <f t="shared" si="1"/>
        <v>10167.369999999999</v>
      </c>
      <c r="T21" s="190" t="s">
        <v>136</v>
      </c>
      <c r="U21" s="191"/>
    </row>
    <row r="22" spans="1:21" x14ac:dyDescent="0.15">
      <c r="B22" s="159" t="s">
        <v>51</v>
      </c>
      <c r="C22" s="160"/>
      <c r="D22" s="161"/>
      <c r="E22" s="160"/>
      <c r="F22" s="192">
        <v>0.1</v>
      </c>
      <c r="G22" s="163" t="s">
        <v>157</v>
      </c>
      <c r="H22" s="164">
        <v>1.1091800000000001</v>
      </c>
      <c r="I22" s="165">
        <v>1.1063000000000001</v>
      </c>
      <c r="J22" s="166">
        <f>(H22-I22)*10000</f>
        <v>28.799999999999937</v>
      </c>
      <c r="K22" s="160" t="s">
        <v>137</v>
      </c>
      <c r="L22" s="171" t="s">
        <v>137</v>
      </c>
      <c r="M22" s="166" t="s">
        <v>137</v>
      </c>
      <c r="N22" s="163" t="s">
        <v>158</v>
      </c>
      <c r="O22" s="193">
        <v>1.10625</v>
      </c>
      <c r="P22" s="171">
        <f>(O22-H22)*10000</f>
        <v>-29.300000000000992</v>
      </c>
      <c r="Q22" s="172">
        <f t="shared" si="0"/>
        <v>-1.0173611111111478</v>
      </c>
      <c r="R22" s="173">
        <f>-29.3</f>
        <v>-29.3</v>
      </c>
      <c r="S22" s="174">
        <f t="shared" si="1"/>
        <v>10138.07</v>
      </c>
      <c r="T22" s="175"/>
      <c r="U22" s="176"/>
    </row>
    <row r="23" spans="1:21" x14ac:dyDescent="0.15">
      <c r="A23" s="76">
        <v>9</v>
      </c>
      <c r="B23" s="177" t="s">
        <v>53</v>
      </c>
      <c r="C23" s="178" t="s">
        <v>139</v>
      </c>
      <c r="D23" s="179" t="s">
        <v>140</v>
      </c>
      <c r="E23" s="178" t="s">
        <v>159</v>
      </c>
      <c r="F23" s="180">
        <v>0.1</v>
      </c>
      <c r="G23" s="181" t="s">
        <v>160</v>
      </c>
      <c r="H23" s="221">
        <v>71.317999999999998</v>
      </c>
      <c r="I23" s="222">
        <v>71.09</v>
      </c>
      <c r="J23" s="184">
        <f>(H23-I23)*100</f>
        <v>22.799999999999443</v>
      </c>
      <c r="K23" s="223">
        <v>71.55</v>
      </c>
      <c r="L23" s="201">
        <f>(K23-H23)*100</f>
        <v>23.199999999999932</v>
      </c>
      <c r="M23" s="224">
        <f>L23/J23</f>
        <v>1.0175438596491446</v>
      </c>
      <c r="N23" s="181" t="s">
        <v>161</v>
      </c>
      <c r="O23" s="223">
        <v>71.09</v>
      </c>
      <c r="P23" s="201">
        <f>(O23-H23)*100</f>
        <v>-22.799999999999443</v>
      </c>
      <c r="Q23" s="188">
        <f t="shared" si="0"/>
        <v>-1</v>
      </c>
      <c r="R23" s="189">
        <f>-20.93</f>
        <v>-20.93</v>
      </c>
      <c r="S23" s="174">
        <f t="shared" si="1"/>
        <v>10117.14</v>
      </c>
      <c r="T23" s="190" t="s">
        <v>136</v>
      </c>
      <c r="U23" s="191"/>
    </row>
    <row r="24" spans="1:21" x14ac:dyDescent="0.15">
      <c r="A24" s="76"/>
      <c r="B24" s="159" t="s">
        <v>53</v>
      </c>
      <c r="C24" s="160"/>
      <c r="D24" s="161"/>
      <c r="E24" s="160"/>
      <c r="F24" s="192">
        <v>0.1</v>
      </c>
      <c r="G24" s="163" t="s">
        <v>160</v>
      </c>
      <c r="H24" s="225">
        <v>71.317999999999998</v>
      </c>
      <c r="I24" s="226">
        <v>71.09</v>
      </c>
      <c r="J24" s="166">
        <f>(H24-I24)*100</f>
        <v>22.799999999999443</v>
      </c>
      <c r="K24" s="227" t="s">
        <v>137</v>
      </c>
      <c r="L24" s="171" t="s">
        <v>137</v>
      </c>
      <c r="M24" s="228" t="s">
        <v>137</v>
      </c>
      <c r="N24" s="163" t="s">
        <v>161</v>
      </c>
      <c r="O24" s="227">
        <v>71.09</v>
      </c>
      <c r="P24" s="171">
        <f>(O24-H24)*100</f>
        <v>-22.799999999999443</v>
      </c>
      <c r="Q24" s="172">
        <f t="shared" si="0"/>
        <v>-1</v>
      </c>
      <c r="R24" s="173">
        <f>-20.93</f>
        <v>-20.93</v>
      </c>
      <c r="S24" s="174">
        <f t="shared" si="1"/>
        <v>10096.209999999999</v>
      </c>
      <c r="T24" s="161" t="s">
        <v>151</v>
      </c>
      <c r="U24" s="176"/>
    </row>
    <row r="25" spans="1:21" x14ac:dyDescent="0.15">
      <c r="A25" s="76">
        <v>10</v>
      </c>
      <c r="B25" s="194" t="s">
        <v>48</v>
      </c>
      <c r="C25" s="54" t="s">
        <v>131</v>
      </c>
      <c r="D25" s="190" t="s">
        <v>132</v>
      </c>
      <c r="E25" s="190" t="s">
        <v>159</v>
      </c>
      <c r="F25" s="219">
        <v>0.05</v>
      </c>
      <c r="G25" s="181" t="s">
        <v>162</v>
      </c>
      <c r="H25" s="196">
        <v>1.99454</v>
      </c>
      <c r="I25" s="197">
        <v>2.0028000000000001</v>
      </c>
      <c r="J25" s="198">
        <f>(I25-H25)*10000</f>
        <v>82.600000000001558</v>
      </c>
      <c r="K25" s="199">
        <v>1.9862</v>
      </c>
      <c r="L25" s="198">
        <f>(H25-K25)*10000</f>
        <v>83.400000000000148</v>
      </c>
      <c r="M25" s="200">
        <f>L25/J25</f>
        <v>1.0096852300241959</v>
      </c>
      <c r="N25" s="181" t="s">
        <v>163</v>
      </c>
      <c r="O25" s="220">
        <v>2.0000100000000001</v>
      </c>
      <c r="P25" s="201">
        <f>(H25-O25)*10000</f>
        <v>-54.700000000000855</v>
      </c>
      <c r="Q25" s="229">
        <f t="shared" si="0"/>
        <v>-0.66222760290556693</v>
      </c>
      <c r="R25" s="202">
        <f>-17.81+-0.53</f>
        <v>-18.34</v>
      </c>
      <c r="S25" s="174">
        <f t="shared" si="1"/>
        <v>10077.869999999999</v>
      </c>
      <c r="T25" s="190" t="s">
        <v>136</v>
      </c>
      <c r="U25" s="191"/>
    </row>
    <row r="26" spans="1:21" x14ac:dyDescent="0.15">
      <c r="B26" s="159" t="s">
        <v>48</v>
      </c>
      <c r="C26" s="160"/>
      <c r="D26" s="161"/>
      <c r="E26" s="161"/>
      <c r="F26" s="162">
        <v>0.05</v>
      </c>
      <c r="G26" s="163" t="s">
        <v>162</v>
      </c>
      <c r="H26" s="164">
        <v>1.99454</v>
      </c>
      <c r="I26" s="165">
        <v>2.0028000000000001</v>
      </c>
      <c r="J26" s="166">
        <f>(I26-H26)*10000</f>
        <v>82.600000000001558</v>
      </c>
      <c r="K26" s="167" t="s">
        <v>137</v>
      </c>
      <c r="L26" s="168" t="s">
        <v>137</v>
      </c>
      <c r="M26" s="169" t="s">
        <v>137</v>
      </c>
      <c r="N26" s="163" t="s">
        <v>163</v>
      </c>
      <c r="O26" s="170">
        <v>1.99993</v>
      </c>
      <c r="P26" s="171">
        <f>(H26-O26)*10000</f>
        <v>-53.900000000000063</v>
      </c>
      <c r="Q26" s="172">
        <f t="shared" si="0"/>
        <v>-0.65254237288134442</v>
      </c>
      <c r="R26" s="173">
        <f>-17.55+-0.53</f>
        <v>-18.080000000000002</v>
      </c>
      <c r="S26" s="174">
        <f t="shared" si="1"/>
        <v>10059.789999999999</v>
      </c>
      <c r="T26" s="175"/>
      <c r="U26" s="176"/>
    </row>
    <row r="27" spans="1:21" x14ac:dyDescent="0.15">
      <c r="A27" s="1">
        <v>11</v>
      </c>
      <c r="B27" s="230" t="s">
        <v>57</v>
      </c>
      <c r="C27" s="231" t="s">
        <v>131</v>
      </c>
      <c r="D27" s="232" t="s">
        <v>132</v>
      </c>
      <c r="E27" s="190" t="s">
        <v>133</v>
      </c>
      <c r="F27" s="219">
        <v>0.1</v>
      </c>
      <c r="G27" s="181" t="s">
        <v>164</v>
      </c>
      <c r="H27" s="196">
        <v>0.84589999999999999</v>
      </c>
      <c r="I27" s="197">
        <v>0.84930000000000005</v>
      </c>
      <c r="J27" s="198">
        <f>(I27-H27)*10000</f>
        <v>34.000000000000696</v>
      </c>
      <c r="K27" s="199">
        <v>0.84250000000000003</v>
      </c>
      <c r="L27" s="198">
        <f>(H27-K27)*10000</f>
        <v>33.999999999999588</v>
      </c>
      <c r="M27" s="200">
        <f>L27/J27</f>
        <v>0.99999999999996736</v>
      </c>
      <c r="N27" s="181" t="s">
        <v>165</v>
      </c>
      <c r="O27" s="220">
        <v>0.84245999999999999</v>
      </c>
      <c r="P27" s="201">
        <f>(H27-O27)*10000</f>
        <v>34.399999999999984</v>
      </c>
      <c r="Q27" s="229">
        <f t="shared" si="0"/>
        <v>1.0117647058823318</v>
      </c>
      <c r="R27" s="202">
        <f>45.03+0.23</f>
        <v>45.26</v>
      </c>
      <c r="S27" s="174">
        <f t="shared" si="1"/>
        <v>10105.049999999999</v>
      </c>
      <c r="T27" s="190" t="s">
        <v>136</v>
      </c>
      <c r="U27" s="191" t="s">
        <v>166</v>
      </c>
    </row>
    <row r="28" spans="1:21" x14ac:dyDescent="0.15">
      <c r="B28" s="351" t="s">
        <v>57</v>
      </c>
      <c r="C28" s="349"/>
      <c r="D28" s="350"/>
      <c r="E28" s="161"/>
      <c r="F28" s="162">
        <v>0.1</v>
      </c>
      <c r="G28" s="163" t="s">
        <v>164</v>
      </c>
      <c r="H28" s="164">
        <v>0.84589999999999999</v>
      </c>
      <c r="I28" s="165">
        <v>0.84930000000000005</v>
      </c>
      <c r="J28" s="166">
        <f>(I28-H28)*10000</f>
        <v>34.000000000000696</v>
      </c>
      <c r="K28" s="167" t="s">
        <v>137</v>
      </c>
      <c r="L28" s="168" t="s">
        <v>137</v>
      </c>
      <c r="M28" s="169" t="s">
        <v>137</v>
      </c>
      <c r="N28" s="163" t="s">
        <v>167</v>
      </c>
      <c r="O28" s="170">
        <v>0.84070999999999996</v>
      </c>
      <c r="P28" s="171">
        <f>(H28-O28)*10000</f>
        <v>51.900000000000276</v>
      </c>
      <c r="Q28" s="172">
        <f t="shared" si="0"/>
        <v>1.5264705882352709</v>
      </c>
      <c r="R28" s="173">
        <f>67.99+0.31</f>
        <v>68.3</v>
      </c>
      <c r="S28" s="174">
        <f t="shared" si="1"/>
        <v>10173.349999999999</v>
      </c>
      <c r="T28" s="175"/>
      <c r="U28" s="176"/>
    </row>
    <row r="29" spans="1:21" x14ac:dyDescent="0.15">
      <c r="A29" s="1">
        <v>12</v>
      </c>
      <c r="B29" s="353" t="s">
        <v>57</v>
      </c>
      <c r="C29" s="354" t="s">
        <v>139</v>
      </c>
      <c r="D29" s="355" t="s">
        <v>140</v>
      </c>
      <c r="E29" s="231" t="s">
        <v>168</v>
      </c>
      <c r="F29" s="195">
        <v>0.1</v>
      </c>
      <c r="G29" s="181" t="s">
        <v>169</v>
      </c>
      <c r="H29" s="196">
        <v>0.84038000000000002</v>
      </c>
      <c r="I29" s="197">
        <v>0.83740000000000003</v>
      </c>
      <c r="J29" s="198">
        <f t="shared" ref="J29:J36" si="2">(H29-I29)*10000</f>
        <v>29.799999999999827</v>
      </c>
      <c r="K29" s="199">
        <v>0.84340000000000004</v>
      </c>
      <c r="L29" s="212">
        <f>(K29-H29)*10000</f>
        <v>30.200000000000227</v>
      </c>
      <c r="M29" s="200">
        <f>L29/J29</f>
        <v>1.0134228187919598</v>
      </c>
      <c r="N29" s="181" t="s">
        <v>170</v>
      </c>
      <c r="O29" s="220">
        <v>0.84340000000000004</v>
      </c>
      <c r="P29" s="201">
        <f t="shared" ref="P29:P36" si="3">(O29-H29)*10000</f>
        <v>30.200000000000227</v>
      </c>
      <c r="Q29" s="188">
        <f t="shared" si="0"/>
        <v>1.0134228187919598</v>
      </c>
      <c r="R29" s="202">
        <f>39.64+-0.69</f>
        <v>38.950000000000003</v>
      </c>
      <c r="S29" s="174">
        <f t="shared" si="1"/>
        <v>10212.299999999999</v>
      </c>
      <c r="T29" s="190" t="s">
        <v>136</v>
      </c>
      <c r="U29" s="191"/>
    </row>
    <row r="30" spans="1:21" ht="15.75" thickBot="1" x14ac:dyDescent="0.2">
      <c r="B30" s="356" t="s">
        <v>57</v>
      </c>
      <c r="C30" s="357"/>
      <c r="D30" s="358"/>
      <c r="E30" s="233"/>
      <c r="F30" s="234">
        <v>0.1</v>
      </c>
      <c r="G30" s="235" t="s">
        <v>169</v>
      </c>
      <c r="H30" s="236">
        <v>0.84038000000000002</v>
      </c>
      <c r="I30" s="237">
        <v>0.83740000000000003</v>
      </c>
      <c r="J30" s="238">
        <f t="shared" si="2"/>
        <v>29.799999999999827</v>
      </c>
      <c r="K30" s="239" t="s">
        <v>137</v>
      </c>
      <c r="L30" s="240" t="s">
        <v>137</v>
      </c>
      <c r="M30" s="241" t="s">
        <v>137</v>
      </c>
      <c r="N30" s="235" t="s">
        <v>171</v>
      </c>
      <c r="O30" s="242">
        <v>0.84711999999999998</v>
      </c>
      <c r="P30" s="240">
        <f t="shared" si="3"/>
        <v>67.399999999999679</v>
      </c>
      <c r="Q30" s="243">
        <f t="shared" si="0"/>
        <v>2.2617449664429552</v>
      </c>
      <c r="R30" s="244">
        <f>87.82+-2.05</f>
        <v>85.77</v>
      </c>
      <c r="S30" s="245">
        <f t="shared" si="1"/>
        <v>10298.07</v>
      </c>
      <c r="T30" s="246" t="s">
        <v>151</v>
      </c>
      <c r="U30" s="247"/>
    </row>
    <row r="31" spans="1:21" x14ac:dyDescent="0.15">
      <c r="A31" s="76">
        <v>13</v>
      </c>
      <c r="B31" s="248" t="s">
        <v>48</v>
      </c>
      <c r="C31" s="249" t="s">
        <v>139</v>
      </c>
      <c r="D31" s="250" t="s">
        <v>140</v>
      </c>
      <c r="E31" s="249" t="s">
        <v>133</v>
      </c>
      <c r="F31" s="251">
        <v>0.05</v>
      </c>
      <c r="G31" s="252" t="s">
        <v>172</v>
      </c>
      <c r="H31" s="253">
        <v>2.0115099999999999</v>
      </c>
      <c r="I31" s="254">
        <v>1.9991000000000001</v>
      </c>
      <c r="J31" s="255">
        <f t="shared" si="2"/>
        <v>124.0999999999981</v>
      </c>
      <c r="K31" s="256">
        <v>2.0188000000000001</v>
      </c>
      <c r="L31" s="257">
        <f>(K31-H31)*10000</f>
        <v>72.900000000002407</v>
      </c>
      <c r="M31" s="255">
        <f>L31/J31</f>
        <v>0.58742949234491149</v>
      </c>
      <c r="N31" s="252" t="s">
        <v>173</v>
      </c>
      <c r="O31" s="256">
        <v>2.0053999999999998</v>
      </c>
      <c r="P31" s="258">
        <f t="shared" si="3"/>
        <v>-61.100000000000598</v>
      </c>
      <c r="Q31" s="259">
        <f t="shared" si="0"/>
        <v>-0.4923448831587553</v>
      </c>
      <c r="R31" s="260">
        <f>-22.12+4.21</f>
        <v>-17.91</v>
      </c>
      <c r="S31" s="157">
        <f t="shared" si="1"/>
        <v>10280.16</v>
      </c>
      <c r="T31" s="261" t="s">
        <v>136</v>
      </c>
      <c r="U31" s="158" t="s">
        <v>174</v>
      </c>
    </row>
    <row r="32" spans="1:21" x14ac:dyDescent="0.15">
      <c r="B32" s="262" t="s">
        <v>48</v>
      </c>
      <c r="C32" s="74"/>
      <c r="D32" s="263"/>
      <c r="E32" s="74"/>
      <c r="F32" s="264">
        <v>0.05</v>
      </c>
      <c r="G32" s="265" t="s">
        <v>172</v>
      </c>
      <c r="H32" s="266">
        <v>2.0115099999999999</v>
      </c>
      <c r="I32" s="267">
        <v>1.9991000000000001</v>
      </c>
      <c r="J32" s="268">
        <f t="shared" si="2"/>
        <v>124.0999999999981</v>
      </c>
      <c r="K32" s="74" t="s">
        <v>137</v>
      </c>
      <c r="L32" s="269" t="s">
        <v>137</v>
      </c>
      <c r="M32" s="268" t="s">
        <v>137</v>
      </c>
      <c r="N32" s="265" t="s">
        <v>173</v>
      </c>
      <c r="O32" s="270">
        <v>2.0054500000000002</v>
      </c>
      <c r="P32" s="269">
        <f t="shared" si="3"/>
        <v>-60.599999999997323</v>
      </c>
      <c r="Q32" s="271">
        <f t="shared" si="0"/>
        <v>-0.48831587429490936</v>
      </c>
      <c r="R32" s="272">
        <f>-21.1+3.88</f>
        <v>-17.220000000000002</v>
      </c>
      <c r="S32" s="174">
        <f t="shared" si="1"/>
        <v>10262.94</v>
      </c>
      <c r="T32" s="192" t="s">
        <v>151</v>
      </c>
      <c r="U32" s="176"/>
    </row>
    <row r="33" spans="1:21" x14ac:dyDescent="0.15">
      <c r="A33" s="1">
        <v>14</v>
      </c>
      <c r="B33" s="273" t="s">
        <v>48</v>
      </c>
      <c r="C33" s="274" t="s">
        <v>139</v>
      </c>
      <c r="D33" s="275" t="s">
        <v>140</v>
      </c>
      <c r="E33" s="274" t="s">
        <v>168</v>
      </c>
      <c r="F33" s="276">
        <v>0.05</v>
      </c>
      <c r="G33" s="277" t="s">
        <v>175</v>
      </c>
      <c r="H33" s="278">
        <v>2.0018500000000001</v>
      </c>
      <c r="I33" s="279">
        <v>1.9965999999999999</v>
      </c>
      <c r="J33" s="280">
        <f t="shared" si="2"/>
        <v>52.50000000000199</v>
      </c>
      <c r="K33" s="281">
        <v>2.0072000000000001</v>
      </c>
      <c r="L33" s="282">
        <f>(K33-H33)*10000</f>
        <v>53.499999999999659</v>
      </c>
      <c r="M33" s="280">
        <f>L33/J33</f>
        <v>1.0190476190475739</v>
      </c>
      <c r="N33" s="277" t="s">
        <v>176</v>
      </c>
      <c r="O33" s="281">
        <v>2.0072299999999998</v>
      </c>
      <c r="P33" s="283">
        <f t="shared" si="3"/>
        <v>53.799999999997183</v>
      </c>
      <c r="Q33" s="284">
        <f t="shared" si="0"/>
        <v>1.0247619047618122</v>
      </c>
      <c r="R33" s="285">
        <f>17.34</f>
        <v>17.34</v>
      </c>
      <c r="S33" s="174">
        <f t="shared" si="1"/>
        <v>10280.280000000001</v>
      </c>
      <c r="T33" s="195" t="s">
        <v>136</v>
      </c>
      <c r="U33" s="191"/>
    </row>
    <row r="34" spans="1:21" x14ac:dyDescent="0.15">
      <c r="B34" s="262" t="s">
        <v>48</v>
      </c>
      <c r="C34" s="74"/>
      <c r="D34" s="263"/>
      <c r="E34" s="74"/>
      <c r="F34" s="264">
        <v>0.05</v>
      </c>
      <c r="G34" s="265" t="s">
        <v>175</v>
      </c>
      <c r="H34" s="266">
        <v>2.0018500000000001</v>
      </c>
      <c r="I34" s="267">
        <v>1.9965999999999999</v>
      </c>
      <c r="J34" s="268">
        <f t="shared" si="2"/>
        <v>52.50000000000199</v>
      </c>
      <c r="K34" s="74" t="s">
        <v>137</v>
      </c>
      <c r="L34" s="269" t="s">
        <v>137</v>
      </c>
      <c r="M34" s="268" t="s">
        <v>137</v>
      </c>
      <c r="N34" s="265" t="s">
        <v>177</v>
      </c>
      <c r="O34" s="270">
        <v>2.0152299999999999</v>
      </c>
      <c r="P34" s="269">
        <f t="shared" si="3"/>
        <v>133.79999999999725</v>
      </c>
      <c r="Q34" s="286">
        <f t="shared" si="0"/>
        <v>2.5485714285712797</v>
      </c>
      <c r="R34" s="272">
        <f>42.92</f>
        <v>42.92</v>
      </c>
      <c r="S34" s="174">
        <f t="shared" si="1"/>
        <v>10323.200000000001</v>
      </c>
      <c r="T34" s="192" t="s">
        <v>151</v>
      </c>
      <c r="U34" s="176"/>
    </row>
    <row r="35" spans="1:21" x14ac:dyDescent="0.15">
      <c r="A35" s="1">
        <v>15</v>
      </c>
      <c r="B35" s="287" t="s">
        <v>66</v>
      </c>
      <c r="C35" s="288" t="s">
        <v>139</v>
      </c>
      <c r="D35" s="289" t="s">
        <v>132</v>
      </c>
      <c r="E35" s="274" t="s">
        <v>141</v>
      </c>
      <c r="F35" s="276">
        <v>0.1</v>
      </c>
      <c r="G35" s="290" t="s">
        <v>178</v>
      </c>
      <c r="H35" s="278">
        <v>1.7171099999999999</v>
      </c>
      <c r="I35" s="279">
        <v>1.7081</v>
      </c>
      <c r="J35" s="280">
        <f t="shared" si="2"/>
        <v>90.099999999999625</v>
      </c>
      <c r="K35" s="274">
        <v>1.7262</v>
      </c>
      <c r="L35" s="282">
        <f>(K35-H35)*10000</f>
        <v>90.900000000000432</v>
      </c>
      <c r="M35" s="280">
        <f>L35/J35</f>
        <v>1.0088790233074452</v>
      </c>
      <c r="N35" s="290" t="s">
        <v>179</v>
      </c>
      <c r="O35" s="291">
        <v>1.7262</v>
      </c>
      <c r="P35" s="292">
        <f t="shared" si="3"/>
        <v>90.900000000000432</v>
      </c>
      <c r="Q35" s="293">
        <f t="shared" si="0"/>
        <v>1.0088790233074452</v>
      </c>
      <c r="R35" s="294">
        <f>68.54</f>
        <v>68.540000000000006</v>
      </c>
      <c r="S35" s="174">
        <f t="shared" si="1"/>
        <v>10391.740000000002</v>
      </c>
      <c r="T35" s="195" t="s">
        <v>136</v>
      </c>
      <c r="U35" s="191"/>
    </row>
    <row r="36" spans="1:21" x14ac:dyDescent="0.15">
      <c r="B36" s="295" t="s">
        <v>66</v>
      </c>
      <c r="C36" s="296"/>
      <c r="D36" s="297"/>
      <c r="E36" s="74"/>
      <c r="F36" s="264">
        <v>0.1</v>
      </c>
      <c r="G36" s="265" t="s">
        <v>178</v>
      </c>
      <c r="H36" s="266">
        <v>1.7170799999999999</v>
      </c>
      <c r="I36" s="267">
        <v>1.7081</v>
      </c>
      <c r="J36" s="268">
        <f t="shared" si="2"/>
        <v>89.799999999999883</v>
      </c>
      <c r="K36" s="74" t="s">
        <v>137</v>
      </c>
      <c r="L36" s="269" t="s">
        <v>137</v>
      </c>
      <c r="M36" s="268" t="s">
        <v>137</v>
      </c>
      <c r="N36" s="265" t="s">
        <v>180</v>
      </c>
      <c r="O36" s="298">
        <v>1.7216</v>
      </c>
      <c r="P36" s="269">
        <f t="shared" si="3"/>
        <v>45.200000000000799</v>
      </c>
      <c r="Q36" s="271">
        <f t="shared" si="0"/>
        <v>0.50334075723831695</v>
      </c>
      <c r="R36" s="272">
        <f>34.08</f>
        <v>34.08</v>
      </c>
      <c r="S36" s="174">
        <f t="shared" si="1"/>
        <v>10425.820000000002</v>
      </c>
      <c r="T36" s="192" t="s">
        <v>181</v>
      </c>
      <c r="U36" s="176"/>
    </row>
    <row r="37" spans="1:21" x14ac:dyDescent="0.15">
      <c r="A37" s="1">
        <v>16</v>
      </c>
      <c r="B37" s="287" t="s">
        <v>70</v>
      </c>
      <c r="C37" s="288" t="s">
        <v>139</v>
      </c>
      <c r="D37" s="289" t="s">
        <v>132</v>
      </c>
      <c r="E37" s="274" t="s">
        <v>159</v>
      </c>
      <c r="F37" s="276">
        <v>0.2</v>
      </c>
      <c r="G37" s="290" t="s">
        <v>182</v>
      </c>
      <c r="H37" s="299">
        <v>109.76</v>
      </c>
      <c r="I37" s="300">
        <v>109.48</v>
      </c>
      <c r="J37" s="280">
        <f>(H37-I37)*100</f>
        <v>28.000000000000114</v>
      </c>
      <c r="K37" s="301">
        <v>110.08</v>
      </c>
      <c r="L37" s="292">
        <f>(K37-H37)*100</f>
        <v>31.999999999999318</v>
      </c>
      <c r="M37" s="302">
        <f>L37/J37</f>
        <v>1.1428571428571139</v>
      </c>
      <c r="N37" s="290" t="s">
        <v>183</v>
      </c>
      <c r="O37" s="301">
        <v>110.08</v>
      </c>
      <c r="P37" s="292">
        <f>(O37-H37)*100</f>
        <v>31.999999999999318</v>
      </c>
      <c r="Q37" s="293">
        <f t="shared" si="0"/>
        <v>1.1428571428571139</v>
      </c>
      <c r="R37" s="285">
        <f>58.12</f>
        <v>58.12</v>
      </c>
      <c r="S37" s="174">
        <f t="shared" si="1"/>
        <v>10483.940000000002</v>
      </c>
      <c r="T37" s="195" t="s">
        <v>136</v>
      </c>
      <c r="U37" s="191"/>
    </row>
    <row r="38" spans="1:21" x14ac:dyDescent="0.15">
      <c r="B38" s="295" t="s">
        <v>70</v>
      </c>
      <c r="C38" s="296"/>
      <c r="D38" s="297"/>
      <c r="E38" s="74"/>
      <c r="F38" s="264">
        <v>0.2</v>
      </c>
      <c r="G38" s="265" t="s">
        <v>182</v>
      </c>
      <c r="H38" s="303">
        <v>109.76</v>
      </c>
      <c r="I38" s="304">
        <v>109.48</v>
      </c>
      <c r="J38" s="268">
        <f>(H38-I38)*100</f>
        <v>28.000000000000114</v>
      </c>
      <c r="K38" s="305" t="s">
        <v>137</v>
      </c>
      <c r="L38" s="269" t="s">
        <v>137</v>
      </c>
      <c r="M38" s="306" t="s">
        <v>137</v>
      </c>
      <c r="N38" s="265" t="s">
        <v>184</v>
      </c>
      <c r="O38" s="305">
        <v>109.94</v>
      </c>
      <c r="P38" s="269">
        <f>(O38-H38)*100</f>
        <v>17.999999999999261</v>
      </c>
      <c r="Q38" s="271">
        <f t="shared" si="0"/>
        <v>0.64285714285711382</v>
      </c>
      <c r="R38" s="272">
        <f>32.68</f>
        <v>32.68</v>
      </c>
      <c r="S38" s="174">
        <f t="shared" si="1"/>
        <v>10516.620000000003</v>
      </c>
      <c r="T38" s="307"/>
      <c r="U38" s="176"/>
    </row>
    <row r="39" spans="1:21" x14ac:dyDescent="0.15">
      <c r="A39" s="76">
        <v>17</v>
      </c>
      <c r="B39" s="273" t="s">
        <v>51</v>
      </c>
      <c r="C39" s="274" t="s">
        <v>139</v>
      </c>
      <c r="D39" s="275" t="s">
        <v>132</v>
      </c>
      <c r="E39" s="274" t="s">
        <v>159</v>
      </c>
      <c r="F39" s="276">
        <v>0.2</v>
      </c>
      <c r="G39" s="290" t="s">
        <v>185</v>
      </c>
      <c r="H39" s="278">
        <v>1.09196</v>
      </c>
      <c r="I39" s="279">
        <v>1.0885</v>
      </c>
      <c r="J39" s="280">
        <f>(H39-I39)*10000</f>
        <v>34.600000000000186</v>
      </c>
      <c r="K39" s="274">
        <v>1.0955999999999999</v>
      </c>
      <c r="L39" s="282">
        <f>(K39-H39)*10000</f>
        <v>36.399999999998656</v>
      </c>
      <c r="M39" s="280">
        <f>L39/J39</f>
        <v>1.0520231213872386</v>
      </c>
      <c r="N39" s="290" t="s">
        <v>186</v>
      </c>
      <c r="O39" s="308">
        <v>1.08873</v>
      </c>
      <c r="P39" s="283">
        <f>(O39-H39)*10000</f>
        <v>-32.300000000000665</v>
      </c>
      <c r="Q39" s="293">
        <f t="shared" ref="Q39:Q56" si="4">P39/J39</f>
        <v>-0.9335260115607078</v>
      </c>
      <c r="R39" s="285">
        <f>-30.08</f>
        <v>-30.08</v>
      </c>
      <c r="S39" s="174">
        <f t="shared" si="1"/>
        <v>10486.540000000003</v>
      </c>
      <c r="T39" s="195" t="s">
        <v>136</v>
      </c>
      <c r="U39" s="191"/>
    </row>
    <row r="40" spans="1:21" x14ac:dyDescent="0.15">
      <c r="B40" s="262" t="s">
        <v>51</v>
      </c>
      <c r="C40" s="74"/>
      <c r="D40" s="263"/>
      <c r="E40" s="74"/>
      <c r="F40" s="264">
        <v>0.2</v>
      </c>
      <c r="G40" s="265" t="s">
        <v>185</v>
      </c>
      <c r="H40" s="266">
        <v>1.09196</v>
      </c>
      <c r="I40" s="267">
        <v>1.0885</v>
      </c>
      <c r="J40" s="268">
        <f>(H40-I40)*10000</f>
        <v>34.600000000000186</v>
      </c>
      <c r="K40" s="74" t="s">
        <v>137</v>
      </c>
      <c r="L40" s="269" t="s">
        <v>137</v>
      </c>
      <c r="M40" s="268" t="s">
        <v>137</v>
      </c>
      <c r="N40" s="265" t="s">
        <v>186</v>
      </c>
      <c r="O40" s="309">
        <v>1.08873</v>
      </c>
      <c r="P40" s="269">
        <f>(O40-H40)*10000</f>
        <v>-32.300000000000665</v>
      </c>
      <c r="Q40" s="271">
        <f t="shared" si="4"/>
        <v>-0.9335260115607078</v>
      </c>
      <c r="R40" s="272">
        <f>-29.78</f>
        <v>-29.78</v>
      </c>
      <c r="S40" s="174">
        <f t="shared" ref="S40:S56" si="5">S39+R40</f>
        <v>10456.760000000002</v>
      </c>
      <c r="T40" s="307"/>
      <c r="U40" s="176"/>
    </row>
    <row r="41" spans="1:21" x14ac:dyDescent="0.15">
      <c r="A41" s="1">
        <v>18</v>
      </c>
      <c r="B41" s="273" t="s">
        <v>66</v>
      </c>
      <c r="C41" s="274" t="s">
        <v>139</v>
      </c>
      <c r="D41" s="275" t="s">
        <v>140</v>
      </c>
      <c r="E41" s="274" t="s">
        <v>145</v>
      </c>
      <c r="F41" s="276">
        <v>0.2</v>
      </c>
      <c r="G41" s="290" t="s">
        <v>187</v>
      </c>
      <c r="H41" s="278">
        <v>1.7175</v>
      </c>
      <c r="I41" s="279">
        <v>1.7143999999999999</v>
      </c>
      <c r="J41" s="280">
        <f>(H41-I41)*10000</f>
        <v>31.000000000001027</v>
      </c>
      <c r="K41" s="274">
        <v>1.7206999999999999</v>
      </c>
      <c r="L41" s="282">
        <f>(K41-H41)*10000</f>
        <v>31.999999999998696</v>
      </c>
      <c r="M41" s="280">
        <f>L41/J41</f>
        <v>1.0322580645160528</v>
      </c>
      <c r="N41" s="290" t="s">
        <v>187</v>
      </c>
      <c r="O41" s="291">
        <v>1.7206999999999999</v>
      </c>
      <c r="P41" s="292">
        <f>(O41-H41)*10000</f>
        <v>31.999999999998696</v>
      </c>
      <c r="Q41" s="293">
        <f t="shared" si="4"/>
        <v>1.0322580645160528</v>
      </c>
      <c r="R41" s="294">
        <f>48.26</f>
        <v>48.26</v>
      </c>
      <c r="S41" s="174">
        <f t="shared" si="5"/>
        <v>10505.020000000002</v>
      </c>
      <c r="T41" s="195" t="s">
        <v>136</v>
      </c>
      <c r="U41" s="191"/>
    </row>
    <row r="42" spans="1:21" x14ac:dyDescent="0.15">
      <c r="B42" s="262" t="s">
        <v>66</v>
      </c>
      <c r="C42" s="74"/>
      <c r="D42" s="263"/>
      <c r="E42" s="74"/>
      <c r="F42" s="264">
        <v>0.2</v>
      </c>
      <c r="G42" s="265" t="s">
        <v>187</v>
      </c>
      <c r="H42" s="266">
        <v>1.7175</v>
      </c>
      <c r="I42" s="267">
        <v>1.7143999999999999</v>
      </c>
      <c r="J42" s="268">
        <f>(H42-I42)*10000</f>
        <v>31.000000000001027</v>
      </c>
      <c r="K42" s="74" t="s">
        <v>137</v>
      </c>
      <c r="L42" s="269" t="s">
        <v>137</v>
      </c>
      <c r="M42" s="268" t="s">
        <v>137</v>
      </c>
      <c r="N42" s="265" t="s">
        <v>188</v>
      </c>
      <c r="O42" s="298">
        <v>1.7280199999999999</v>
      </c>
      <c r="P42" s="269">
        <f>(O42-H42)*10000</f>
        <v>105.19999999999862</v>
      </c>
      <c r="Q42" s="286">
        <f t="shared" si="4"/>
        <v>3.3935483870966174</v>
      </c>
      <c r="R42" s="272">
        <f>156.04</f>
        <v>156.04</v>
      </c>
      <c r="S42" s="174">
        <f t="shared" si="5"/>
        <v>10661.060000000003</v>
      </c>
      <c r="T42" s="192" t="s">
        <v>151</v>
      </c>
      <c r="U42" s="176"/>
    </row>
    <row r="43" spans="1:21" x14ac:dyDescent="0.15">
      <c r="A43" s="1">
        <v>19</v>
      </c>
      <c r="B43" s="310" t="s">
        <v>81</v>
      </c>
      <c r="C43" s="311" t="s">
        <v>131</v>
      </c>
      <c r="D43" s="312" t="s">
        <v>140</v>
      </c>
      <c r="E43" s="46" t="s">
        <v>141</v>
      </c>
      <c r="F43" s="313">
        <v>0.2</v>
      </c>
      <c r="G43" s="290" t="s">
        <v>189</v>
      </c>
      <c r="H43" s="314">
        <v>83.031999999999996</v>
      </c>
      <c r="I43" s="315">
        <v>83.19</v>
      </c>
      <c r="J43" s="316">
        <f>(I43-H43)*100</f>
        <v>15.800000000000125</v>
      </c>
      <c r="K43" s="317">
        <v>82.87</v>
      </c>
      <c r="L43" s="283">
        <f>(H43-K43)*100</f>
        <v>16.199999999999193</v>
      </c>
      <c r="M43" s="318">
        <f>L43/J43</f>
        <v>1.0253164556961434</v>
      </c>
      <c r="N43" s="290" t="s">
        <v>190</v>
      </c>
      <c r="O43" s="319">
        <v>82.87</v>
      </c>
      <c r="P43" s="292">
        <f>(H43-O43)*100</f>
        <v>16.199999999999193</v>
      </c>
      <c r="Q43" s="284">
        <f t="shared" si="4"/>
        <v>1.0253164556961434</v>
      </c>
      <c r="R43" s="294">
        <v>28.08</v>
      </c>
      <c r="S43" s="174">
        <f t="shared" si="5"/>
        <v>10689.140000000003</v>
      </c>
      <c r="T43" s="195" t="s">
        <v>136</v>
      </c>
      <c r="U43" s="191"/>
    </row>
    <row r="44" spans="1:21" x14ac:dyDescent="0.15">
      <c r="B44" s="295" t="s">
        <v>81</v>
      </c>
      <c r="C44" s="296"/>
      <c r="D44" s="297"/>
      <c r="E44" s="74"/>
      <c r="F44" s="264">
        <v>0.2</v>
      </c>
      <c r="G44" s="265" t="s">
        <v>189</v>
      </c>
      <c r="H44" s="303">
        <v>83.031999999999996</v>
      </c>
      <c r="I44" s="304">
        <v>83.19</v>
      </c>
      <c r="J44" s="268">
        <f>(I44-H44)*100</f>
        <v>15.800000000000125</v>
      </c>
      <c r="K44" s="305" t="s">
        <v>137</v>
      </c>
      <c r="L44" s="269" t="s">
        <v>137</v>
      </c>
      <c r="M44" s="320" t="s">
        <v>137</v>
      </c>
      <c r="N44" s="265" t="s">
        <v>191</v>
      </c>
      <c r="O44" s="321">
        <v>82.775999999999996</v>
      </c>
      <c r="P44" s="269">
        <f>(H44-O44)*100</f>
        <v>25.600000000000023</v>
      </c>
      <c r="Q44" s="271">
        <f t="shared" si="4"/>
        <v>1.6202531645569507</v>
      </c>
      <c r="R44" s="272">
        <f>45.22</f>
        <v>45.22</v>
      </c>
      <c r="S44" s="174">
        <f t="shared" si="5"/>
        <v>10734.360000000002</v>
      </c>
      <c r="T44" s="192" t="s">
        <v>192</v>
      </c>
      <c r="U44" s="176"/>
    </row>
    <row r="45" spans="1:21" x14ac:dyDescent="0.15">
      <c r="A45" s="1">
        <v>20</v>
      </c>
      <c r="B45" s="287" t="s">
        <v>83</v>
      </c>
      <c r="C45" s="288" t="s">
        <v>139</v>
      </c>
      <c r="D45" s="289" t="s">
        <v>140</v>
      </c>
      <c r="E45" s="274" t="s">
        <v>133</v>
      </c>
      <c r="F45" s="276">
        <v>0.2</v>
      </c>
      <c r="G45" s="290" t="s">
        <v>193</v>
      </c>
      <c r="H45" s="278">
        <v>1.06141</v>
      </c>
      <c r="I45" s="279">
        <v>1.0596000000000001</v>
      </c>
      <c r="J45" s="280">
        <f>(H45-I45)*10000</f>
        <v>18.099999999998673</v>
      </c>
      <c r="K45" s="281">
        <v>1.0632999999999999</v>
      </c>
      <c r="L45" s="282">
        <f>(K45-H45)*10000</f>
        <v>18.899999999999473</v>
      </c>
      <c r="M45" s="280">
        <f>L45/J45</f>
        <v>1.0441988950276717</v>
      </c>
      <c r="N45" s="290" t="s">
        <v>194</v>
      </c>
      <c r="O45" s="308">
        <v>1.0632900000000001</v>
      </c>
      <c r="P45" s="292">
        <f>(O45-H45)*10000</f>
        <v>18.800000000001038</v>
      </c>
      <c r="Q45" s="293">
        <f t="shared" si="4"/>
        <v>1.0386740331493047</v>
      </c>
      <c r="R45" s="285">
        <f>44.04</f>
        <v>44.04</v>
      </c>
      <c r="S45" s="174">
        <f t="shared" si="5"/>
        <v>10778.400000000003</v>
      </c>
      <c r="T45" s="195" t="s">
        <v>136</v>
      </c>
      <c r="U45" s="191"/>
    </row>
    <row r="46" spans="1:21" x14ac:dyDescent="0.15">
      <c r="B46" s="295" t="s">
        <v>83</v>
      </c>
      <c r="C46" s="296"/>
      <c r="D46" s="297"/>
      <c r="E46" s="74"/>
      <c r="F46" s="264">
        <v>0.2</v>
      </c>
      <c r="G46" s="265" t="s">
        <v>193</v>
      </c>
      <c r="H46" s="266">
        <v>1.0613999999999999</v>
      </c>
      <c r="I46" s="267">
        <v>1.0596000000000001</v>
      </c>
      <c r="J46" s="268">
        <f>(H46-I46)*10000</f>
        <v>17.999999999998018</v>
      </c>
      <c r="K46" s="74" t="s">
        <v>137</v>
      </c>
      <c r="L46" s="269" t="s">
        <v>137</v>
      </c>
      <c r="M46" s="268" t="s">
        <v>137</v>
      </c>
      <c r="N46" s="265" t="s">
        <v>195</v>
      </c>
      <c r="O46" s="309">
        <v>1.06149</v>
      </c>
      <c r="P46" s="269">
        <f>(O46-H46)*10000</f>
        <v>0.90000000000145519</v>
      </c>
      <c r="Q46" s="271">
        <f t="shared" si="4"/>
        <v>5.000000000008635E-2</v>
      </c>
      <c r="R46" s="272">
        <f>5.04</f>
        <v>5.04</v>
      </c>
      <c r="S46" s="174">
        <f t="shared" si="5"/>
        <v>10783.440000000004</v>
      </c>
      <c r="T46" s="192" t="s">
        <v>151</v>
      </c>
      <c r="U46" s="176"/>
    </row>
    <row r="47" spans="1:21" x14ac:dyDescent="0.15">
      <c r="A47" s="1">
        <v>21</v>
      </c>
      <c r="B47" s="287" t="s">
        <v>85</v>
      </c>
      <c r="C47" s="288" t="s">
        <v>131</v>
      </c>
      <c r="D47" s="288" t="s">
        <v>132</v>
      </c>
      <c r="E47" s="276" t="s">
        <v>145</v>
      </c>
      <c r="F47" s="274">
        <v>0.2</v>
      </c>
      <c r="G47" s="290" t="s">
        <v>196</v>
      </c>
      <c r="H47" s="322">
        <v>0.98377000000000003</v>
      </c>
      <c r="I47" s="323">
        <v>0.98619999999999997</v>
      </c>
      <c r="J47" s="280">
        <f>(I47-H47)*10000</f>
        <v>24.299999999999322</v>
      </c>
      <c r="K47" s="308">
        <v>0.98129999999999995</v>
      </c>
      <c r="L47" s="280">
        <f>(H47-K47)*10000</f>
        <v>24.700000000000834</v>
      </c>
      <c r="M47" s="302">
        <f>L47/J47</f>
        <v>1.016460905349857</v>
      </c>
      <c r="N47" s="290" t="s">
        <v>197</v>
      </c>
      <c r="O47" s="281">
        <v>0.98129999999999995</v>
      </c>
      <c r="P47" s="292">
        <f>(H47-O47)*10000</f>
        <v>24.700000000000834</v>
      </c>
      <c r="Q47" s="284">
        <f t="shared" si="4"/>
        <v>1.016460905349857</v>
      </c>
      <c r="R47" s="285">
        <f>48.48</f>
        <v>48.48</v>
      </c>
      <c r="S47" s="174">
        <f t="shared" si="5"/>
        <v>10831.920000000004</v>
      </c>
      <c r="T47" s="195" t="s">
        <v>136</v>
      </c>
      <c r="U47" s="191"/>
    </row>
    <row r="48" spans="1:21" x14ac:dyDescent="0.15">
      <c r="B48" s="295" t="s">
        <v>85</v>
      </c>
      <c r="C48" s="296"/>
      <c r="D48" s="296"/>
      <c r="E48" s="264"/>
      <c r="F48" s="74">
        <v>0.2</v>
      </c>
      <c r="G48" s="265" t="s">
        <v>196</v>
      </c>
      <c r="H48" s="324">
        <v>0.98377999999999999</v>
      </c>
      <c r="I48" s="325">
        <v>0.98619999999999997</v>
      </c>
      <c r="J48" s="268">
        <f>(I48-H48)*10000</f>
        <v>24.199999999999775</v>
      </c>
      <c r="K48" s="309" t="s">
        <v>137</v>
      </c>
      <c r="L48" s="269" t="s">
        <v>137</v>
      </c>
      <c r="M48" s="326" t="s">
        <v>137</v>
      </c>
      <c r="N48" s="265" t="s">
        <v>198</v>
      </c>
      <c r="O48" s="270">
        <v>0.92949999999999999</v>
      </c>
      <c r="P48" s="269">
        <f>(H48-O48)*10000</f>
        <v>542.79999999999995</v>
      </c>
      <c r="Q48" s="286">
        <f t="shared" si="4"/>
        <v>22.42975206611591</v>
      </c>
      <c r="R48" s="272">
        <f>1110.73</f>
        <v>1110.73</v>
      </c>
      <c r="S48" s="174">
        <f t="shared" si="5"/>
        <v>11942.650000000003</v>
      </c>
      <c r="T48" s="307"/>
      <c r="U48" s="176"/>
    </row>
    <row r="49" spans="1:21" x14ac:dyDescent="0.15">
      <c r="A49" s="76">
        <v>22</v>
      </c>
      <c r="B49" s="273" t="s">
        <v>83</v>
      </c>
      <c r="C49" s="274" t="s">
        <v>139</v>
      </c>
      <c r="D49" s="275" t="s">
        <v>140</v>
      </c>
      <c r="E49" s="274" t="s">
        <v>141</v>
      </c>
      <c r="F49" s="276">
        <v>0.2</v>
      </c>
      <c r="G49" s="290" t="s">
        <v>199</v>
      </c>
      <c r="H49" s="278">
        <v>1.0609299999999999</v>
      </c>
      <c r="I49" s="279">
        <v>1.0595000000000001</v>
      </c>
      <c r="J49" s="280">
        <f>(H49-I49)*10000</f>
        <v>14.299999999998203</v>
      </c>
      <c r="K49" s="281">
        <v>1.0624</v>
      </c>
      <c r="L49" s="282">
        <f>(K49-H49)*10000</f>
        <v>14.700000000000824</v>
      </c>
      <c r="M49" s="280">
        <f>L49/J49</f>
        <v>1.0279720279722147</v>
      </c>
      <c r="N49" s="290" t="s">
        <v>200</v>
      </c>
      <c r="O49" s="308">
        <v>1.05942</v>
      </c>
      <c r="P49" s="292">
        <f>(O49-H49)*10000</f>
        <v>-15.099999999999003</v>
      </c>
      <c r="Q49" s="293">
        <f t="shared" si="4"/>
        <v>-1.0559440559441189</v>
      </c>
      <c r="R49" s="285">
        <f>-31.36</f>
        <v>-31.36</v>
      </c>
      <c r="S49" s="174">
        <f t="shared" si="5"/>
        <v>11911.290000000003</v>
      </c>
      <c r="T49" s="195" t="s">
        <v>136</v>
      </c>
      <c r="U49" s="191"/>
    </row>
    <row r="50" spans="1:21" x14ac:dyDescent="0.15">
      <c r="B50" s="262" t="s">
        <v>83</v>
      </c>
      <c r="C50" s="74"/>
      <c r="D50" s="263"/>
      <c r="E50" s="74"/>
      <c r="F50" s="264">
        <v>0.2</v>
      </c>
      <c r="G50" s="265" t="s">
        <v>199</v>
      </c>
      <c r="H50" s="266">
        <v>1.0609299999999999</v>
      </c>
      <c r="I50" s="267">
        <v>1.0595000000000001</v>
      </c>
      <c r="J50" s="268">
        <f>(H50-I50)*10000</f>
        <v>14.299999999998203</v>
      </c>
      <c r="K50" s="74" t="s">
        <v>137</v>
      </c>
      <c r="L50" s="269" t="s">
        <v>137</v>
      </c>
      <c r="M50" s="268" t="s">
        <v>137</v>
      </c>
      <c r="N50" s="265" t="s">
        <v>200</v>
      </c>
      <c r="O50" s="309">
        <v>1.05942</v>
      </c>
      <c r="P50" s="269">
        <f>(O50-H50)*10000</f>
        <v>-15.099999999999003</v>
      </c>
      <c r="Q50" s="271">
        <f t="shared" si="4"/>
        <v>-1.0559440559441189</v>
      </c>
      <c r="R50" s="272">
        <f>-31.36</f>
        <v>-31.36</v>
      </c>
      <c r="S50" s="174">
        <f t="shared" si="5"/>
        <v>11879.930000000002</v>
      </c>
      <c r="T50" s="192" t="s">
        <v>151</v>
      </c>
      <c r="U50" s="176"/>
    </row>
    <row r="51" spans="1:21" x14ac:dyDescent="0.15">
      <c r="A51" s="1">
        <v>23</v>
      </c>
      <c r="B51" s="287" t="s">
        <v>88</v>
      </c>
      <c r="C51" s="288" t="s">
        <v>139</v>
      </c>
      <c r="D51" s="289" t="s">
        <v>140</v>
      </c>
      <c r="E51" s="274" t="s">
        <v>141</v>
      </c>
      <c r="F51" s="276">
        <v>0.2</v>
      </c>
      <c r="G51" s="290" t="s">
        <v>201</v>
      </c>
      <c r="H51" s="278">
        <v>1.2638</v>
      </c>
      <c r="I51" s="279">
        <v>1.2602</v>
      </c>
      <c r="J51" s="280">
        <f>(H51-I51)*10000</f>
        <v>36.000000000000476</v>
      </c>
      <c r="K51" s="281">
        <v>1.2675000000000001</v>
      </c>
      <c r="L51" s="282">
        <f>(K51-H51)*10000</f>
        <v>37.000000000000369</v>
      </c>
      <c r="M51" s="280">
        <f>L51/J51</f>
        <v>1.0277777777777743</v>
      </c>
      <c r="N51" s="290" t="s">
        <v>202</v>
      </c>
      <c r="O51" s="281">
        <v>1.2675000000000001</v>
      </c>
      <c r="P51" s="292">
        <f>(O51-H51)*10000</f>
        <v>37.000000000000369</v>
      </c>
      <c r="Q51" s="293">
        <f t="shared" si="4"/>
        <v>1.0277777777777743</v>
      </c>
      <c r="R51" s="285">
        <f>75.48</f>
        <v>75.48</v>
      </c>
      <c r="S51" s="174">
        <f t="shared" si="5"/>
        <v>11955.410000000002</v>
      </c>
      <c r="T51" s="195" t="s">
        <v>136</v>
      </c>
      <c r="U51" s="191" t="s">
        <v>203</v>
      </c>
    </row>
    <row r="52" spans="1:21" x14ac:dyDescent="0.15">
      <c r="B52" s="295" t="s">
        <v>88</v>
      </c>
      <c r="C52" s="296"/>
      <c r="D52" s="297"/>
      <c r="E52" s="74"/>
      <c r="F52" s="264">
        <v>0.2</v>
      </c>
      <c r="G52" s="265" t="s">
        <v>201</v>
      </c>
      <c r="H52" s="266">
        <v>1.2638</v>
      </c>
      <c r="I52" s="267">
        <v>1.2602</v>
      </c>
      <c r="J52" s="268">
        <f>(H52-I52)*10000</f>
        <v>36.000000000000476</v>
      </c>
      <c r="K52" s="74" t="s">
        <v>137</v>
      </c>
      <c r="L52" s="269" t="s">
        <v>137</v>
      </c>
      <c r="M52" s="268" t="s">
        <v>137</v>
      </c>
      <c r="N52" s="265" t="s">
        <v>204</v>
      </c>
      <c r="O52" s="270">
        <v>1.2694399999999999</v>
      </c>
      <c r="P52" s="269">
        <f>(O52-H52)*10000</f>
        <v>56.39999999999867</v>
      </c>
      <c r="Q52" s="271">
        <f t="shared" si="4"/>
        <v>1.5666666666666089</v>
      </c>
      <c r="R52" s="272">
        <f>115.06</f>
        <v>115.06</v>
      </c>
      <c r="S52" s="174">
        <f t="shared" si="5"/>
        <v>12070.470000000001</v>
      </c>
      <c r="T52" s="192" t="s">
        <v>151</v>
      </c>
      <c r="U52" s="176"/>
    </row>
    <row r="53" spans="1:21" x14ac:dyDescent="0.15">
      <c r="A53" s="76">
        <v>24</v>
      </c>
      <c r="B53" s="287" t="s">
        <v>30</v>
      </c>
      <c r="C53" s="288" t="s">
        <v>131</v>
      </c>
      <c r="D53" s="289" t="s">
        <v>140</v>
      </c>
      <c r="E53" s="275" t="s">
        <v>159</v>
      </c>
      <c r="F53" s="327">
        <v>0.2</v>
      </c>
      <c r="G53" s="290" t="s">
        <v>205</v>
      </c>
      <c r="H53" s="278">
        <v>1.7146999999999999</v>
      </c>
      <c r="I53" s="279">
        <v>1.7197</v>
      </c>
      <c r="J53" s="280">
        <f t="shared" ref="J53:J56" si="6">(I53-H53)*10000</f>
        <v>50.000000000001151</v>
      </c>
      <c r="K53" s="281">
        <v>1.7097</v>
      </c>
      <c r="L53" s="280">
        <f>(H53-K53)*10000</f>
        <v>49.999999999998934</v>
      </c>
      <c r="M53" s="328">
        <f>L53/J53</f>
        <v>0.9999999999999557</v>
      </c>
      <c r="N53" s="290" t="s">
        <v>205</v>
      </c>
      <c r="O53" s="329">
        <v>1.7197</v>
      </c>
      <c r="P53" s="292">
        <f t="shared" ref="P53:P56" si="7">(H53-O53)*10000</f>
        <v>-50.000000000001151</v>
      </c>
      <c r="Q53" s="284">
        <f t="shared" si="4"/>
        <v>-1</v>
      </c>
      <c r="R53" s="285">
        <f>-53.55</f>
        <v>-53.55</v>
      </c>
      <c r="S53" s="174">
        <f t="shared" si="5"/>
        <v>12016.920000000002</v>
      </c>
      <c r="T53" s="195" t="s">
        <v>136</v>
      </c>
      <c r="U53" s="191"/>
    </row>
    <row r="54" spans="1:21" x14ac:dyDescent="0.15">
      <c r="B54" s="295" t="s">
        <v>30</v>
      </c>
      <c r="C54" s="296"/>
      <c r="D54" s="297"/>
      <c r="E54" s="263"/>
      <c r="F54" s="326">
        <v>0.2</v>
      </c>
      <c r="G54" s="265" t="s">
        <v>205</v>
      </c>
      <c r="H54" s="266">
        <v>1.7146999999999999</v>
      </c>
      <c r="I54" s="267">
        <v>1.7197</v>
      </c>
      <c r="J54" s="268">
        <f t="shared" si="6"/>
        <v>50.000000000001151</v>
      </c>
      <c r="K54" s="270" t="s">
        <v>137</v>
      </c>
      <c r="L54" s="330" t="s">
        <v>137</v>
      </c>
      <c r="M54" s="320" t="s">
        <v>137</v>
      </c>
      <c r="N54" s="265" t="s">
        <v>205</v>
      </c>
      <c r="O54" s="298">
        <v>1.7197</v>
      </c>
      <c r="P54" s="269">
        <f t="shared" si="7"/>
        <v>-50.000000000001151</v>
      </c>
      <c r="Q54" s="271">
        <f t="shared" si="4"/>
        <v>-1</v>
      </c>
      <c r="R54" s="272">
        <f>-53.37</f>
        <v>-53.37</v>
      </c>
      <c r="S54" s="174">
        <f t="shared" si="5"/>
        <v>11963.550000000001</v>
      </c>
      <c r="T54" s="192" t="s">
        <v>192</v>
      </c>
      <c r="U54" s="176"/>
    </row>
    <row r="55" spans="1:21" x14ac:dyDescent="0.15">
      <c r="A55" s="1">
        <v>25</v>
      </c>
      <c r="B55" s="310" t="s">
        <v>33</v>
      </c>
      <c r="C55" s="311" t="s">
        <v>131</v>
      </c>
      <c r="D55" s="311" t="s">
        <v>140</v>
      </c>
      <c r="E55" s="313" t="s">
        <v>159</v>
      </c>
      <c r="F55" s="46">
        <v>0.2</v>
      </c>
      <c r="G55" s="290" t="s">
        <v>205</v>
      </c>
      <c r="H55" s="331">
        <v>1.3293999999999999</v>
      </c>
      <c r="I55" s="332">
        <v>1.3317000000000001</v>
      </c>
      <c r="J55" s="316">
        <f t="shared" si="6"/>
        <v>23.000000000001908</v>
      </c>
      <c r="K55" s="333">
        <v>1.3270999999999999</v>
      </c>
      <c r="L55" s="316">
        <f>(H55-K55)*10000</f>
        <v>22.999999999999687</v>
      </c>
      <c r="M55" s="318">
        <f>L55/J55</f>
        <v>0.99999999999990341</v>
      </c>
      <c r="N55" s="290" t="s">
        <v>206</v>
      </c>
      <c r="O55" s="334">
        <v>1.3278000000000001</v>
      </c>
      <c r="P55" s="292">
        <f t="shared" si="7"/>
        <v>15.999999999998238</v>
      </c>
      <c r="Q55" s="284">
        <f t="shared" si="4"/>
        <v>0.69565217391290912</v>
      </c>
      <c r="R55" s="294">
        <f>24.1</f>
        <v>24.1</v>
      </c>
      <c r="S55" s="174">
        <f t="shared" si="5"/>
        <v>11987.650000000001</v>
      </c>
      <c r="T55" s="195" t="s">
        <v>136</v>
      </c>
      <c r="U55" s="191"/>
    </row>
    <row r="56" spans="1:21" ht="15.75" thickBot="1" x14ac:dyDescent="0.2">
      <c r="B56" s="335" t="s">
        <v>33</v>
      </c>
      <c r="C56" s="336"/>
      <c r="D56" s="336"/>
      <c r="E56" s="337"/>
      <c r="F56" s="338">
        <v>0.2</v>
      </c>
      <c r="G56" s="339" t="s">
        <v>205</v>
      </c>
      <c r="H56" s="340">
        <v>1.3293999999999999</v>
      </c>
      <c r="I56" s="341">
        <v>1.3317000000000001</v>
      </c>
      <c r="J56" s="342">
        <f t="shared" si="6"/>
        <v>23.000000000001908</v>
      </c>
      <c r="K56" s="343" t="s">
        <v>137</v>
      </c>
      <c r="L56" s="344" t="s">
        <v>137</v>
      </c>
      <c r="M56" s="345" t="s">
        <v>137</v>
      </c>
      <c r="N56" s="339" t="s">
        <v>206</v>
      </c>
      <c r="O56" s="346">
        <v>1.32927</v>
      </c>
      <c r="P56" s="344">
        <f t="shared" si="7"/>
        <v>1.2999999999996348</v>
      </c>
      <c r="Q56" s="347">
        <f t="shared" si="4"/>
        <v>5.6521739130414216E-2</v>
      </c>
      <c r="R56" s="348">
        <f>2.33</f>
        <v>2.33</v>
      </c>
      <c r="S56" s="245">
        <f t="shared" si="5"/>
        <v>11989.980000000001</v>
      </c>
      <c r="T56" s="234" t="s">
        <v>192</v>
      </c>
      <c r="U56" s="247"/>
    </row>
  </sheetData>
  <mergeCells count="3">
    <mergeCell ref="I5:L5"/>
    <mergeCell ref="X5:Y5"/>
    <mergeCell ref="AA5:AB5"/>
  </mergeCells>
  <pageMargins left="0.70000000000000007" right="0.70000000000000007" top="1.1437500000000003" bottom="1.1437500000000003" header="0.75000000000000011" footer="0.75000000000000011"/>
  <pageSetup fitToWidth="0" fitToHeight="0" orientation="portrait" horizontalDpi="4294967293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Equity</vt:lpstr>
      <vt:lpstr>Trades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Trader</dc:creator>
  <cp:lastModifiedBy>Joe Trader</cp:lastModifiedBy>
  <cp:revision>9</cp:revision>
  <dcterms:created xsi:type="dcterms:W3CDTF">2017-06-10T14:25:27Z</dcterms:created>
  <dcterms:modified xsi:type="dcterms:W3CDTF">2020-10-20T13:39:50Z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